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265" windowHeight="6795" tabRatio="598" firstSheet="1" activeTab="2"/>
  </bookViews>
  <sheets>
    <sheet name="VATLIEU" sheetId="1" r:id="rId1"/>
    <sheet name="TINH LUN MONG COC BTCT" sheetId="2" r:id="rId2"/>
    <sheet name="Fa- DAI MONG COC BTCT" sheetId="3" r:id="rId3"/>
    <sheet name="KT THEP TRONG COC BTCT" sheetId="4" r:id="rId4"/>
    <sheet name="MONG COC BTCT" sheetId="5" r:id="rId5"/>
    <sheet name="CHIA LOP" sheetId="6" r:id="rId6"/>
    <sheet name="SUC CHIU TAI COC BTCT" sheetId="7" r:id="rId7"/>
    <sheet name="SUC C TAI COC K NHOI - DAT CAT" sheetId="8" r:id="rId8"/>
    <sheet name="Fa -MONG COC KHOAN NHOI" sheetId="9" r:id="rId9"/>
    <sheet name="MONG COC KHOAN NHOI" sheetId="10" r:id="rId10"/>
    <sheet name="SucChiuTaiCocKhoanNhoi-DatSet" sheetId="11" r:id="rId11"/>
    <sheet name="DO LUN MONG COC KHOAN NHOI" sheetId="12" r:id="rId12"/>
    <sheet name="COCCHIUTAINGANG" sheetId="13" r:id="rId13"/>
    <sheet name="PHU LUC MONG COC" sheetId="14" r:id="rId14"/>
    <sheet name="XXXXXXXX" sheetId="15" state="veryHidden" r:id="rId15"/>
  </sheets>
  <externalReferences>
    <externalReference r:id="rId18"/>
  </externalReferences>
  <definedNames>
    <definedName name="_Fill" hidden="1">#REF!</definedName>
    <definedName name="bt">'[1]Sheet3'!$B$2:$E$6</definedName>
    <definedName name="ob1">'[1]B.tra o ban'!$Q$5:$U$26</definedName>
    <definedName name="ob10">'[1]B.tra o ban'!$BM$5:$BQ$16</definedName>
    <definedName name="ob11">'[1]B.tra o ban'!$BS$5:$BW$16</definedName>
    <definedName name="ob2">'[1]B.tra o ban'!$W$4:$AA$26</definedName>
    <definedName name="ob3">'[1]B.tra o ban'!$AC$5:$AG$26</definedName>
    <definedName name="ob4">'[1]B.tra o ban'!$AI$5:$AM$26</definedName>
    <definedName name="ob5">'[1]B.tra o ban'!$AO$5:$AS$26</definedName>
    <definedName name="ob6">'[1]B.tra o ban'!$AU$5:$AY$26</definedName>
    <definedName name="ob7">'[1]B.tra o ban'!$BA$5:$BE$26</definedName>
    <definedName name="ob8">'[1]B.tra o ban'!$BG$5:$BK$26</definedName>
    <definedName name="ob9">'[1]B.tra o ban'!$K$5:$O$26</definedName>
    <definedName name="_xlnm.Print_Titles">$5:$6</definedName>
    <definedName name="TT">'[1]Sheet3'!$B$8:$E$12</definedName>
  </definedNames>
  <calcPr fullCalcOnLoad="1"/>
</workbook>
</file>

<file path=xl/sharedStrings.xml><?xml version="1.0" encoding="utf-8"?>
<sst xmlns="http://schemas.openxmlformats.org/spreadsheetml/2006/main" count="1175" uniqueCount="631">
  <si>
    <t>Bmq        =</t>
  </si>
  <si>
    <r>
      <t xml:space="preserve">s </t>
    </r>
    <r>
      <rPr>
        <vertAlign val="superscript"/>
        <sz val="10"/>
        <rFont val="VNI-Times"/>
        <family val="0"/>
      </rPr>
      <t>gl</t>
    </r>
    <r>
      <rPr>
        <vertAlign val="subscript"/>
        <sz val="10"/>
        <rFont val="VNI-Times"/>
        <family val="0"/>
      </rPr>
      <t>z =0</t>
    </r>
    <r>
      <rPr>
        <sz val="10"/>
        <rFont val="VNI-Times"/>
        <family val="0"/>
      </rPr>
      <t xml:space="preserve">   </t>
    </r>
    <r>
      <rPr>
        <vertAlign val="subscript"/>
        <sz val="10"/>
        <rFont val="VNI-Times"/>
        <family val="0"/>
      </rPr>
      <t xml:space="preserve"> </t>
    </r>
    <r>
      <rPr>
        <sz val="10"/>
        <rFont val="VNI-Times"/>
        <family val="0"/>
      </rPr>
      <t xml:space="preserve">  = </t>
    </r>
  </si>
  <si>
    <t xml:space="preserve">Lmq        =  </t>
  </si>
  <si>
    <t>Lmq/Bmq</t>
  </si>
  <si>
    <t>2*z/Bmq</t>
  </si>
  <si>
    <t>TÍNH TOAÙN ÑOÄ LUÙN CHO MOÙNG COÏC KHOAN NHOÀI</t>
  </si>
  <si>
    <r>
      <t>s</t>
    </r>
    <r>
      <rPr>
        <b/>
        <vertAlign val="subscript"/>
        <sz val="10"/>
        <rFont val="Symbol"/>
        <family val="1"/>
      </rPr>
      <t xml:space="preserve"> </t>
    </r>
    <r>
      <rPr>
        <b/>
        <vertAlign val="subscript"/>
        <sz val="10"/>
        <rFont val="VNI-Times"/>
        <family val="0"/>
      </rPr>
      <t>i</t>
    </r>
    <r>
      <rPr>
        <b/>
        <sz val="10"/>
        <rFont val="VNI-Times"/>
        <family val="0"/>
      </rPr>
      <t xml:space="preserve"> </t>
    </r>
    <r>
      <rPr>
        <b/>
        <vertAlign val="superscript"/>
        <sz val="10"/>
        <rFont val="VNI-Times"/>
        <family val="0"/>
      </rPr>
      <t xml:space="preserve">bt </t>
    </r>
    <r>
      <rPr>
        <b/>
        <sz val="10"/>
        <rFont val="VNI-Times"/>
        <family val="0"/>
      </rPr>
      <t xml:space="preserve">= </t>
    </r>
    <r>
      <rPr>
        <b/>
        <sz val="10"/>
        <rFont val="Symbol"/>
        <family val="1"/>
      </rPr>
      <t xml:space="preserve">g </t>
    </r>
    <r>
      <rPr>
        <b/>
        <sz val="10"/>
        <rFont val="VNI-Times"/>
        <family val="0"/>
      </rPr>
      <t>z +</t>
    </r>
  </si>
  <si>
    <r>
      <t>å</t>
    </r>
    <r>
      <rPr>
        <b/>
        <sz val="10"/>
        <rFont val="VNI-Times"/>
        <family val="0"/>
      </rPr>
      <t>h</t>
    </r>
    <r>
      <rPr>
        <b/>
        <vertAlign val="subscript"/>
        <sz val="10"/>
        <rFont val="VNI-Times"/>
        <family val="0"/>
      </rPr>
      <t>i</t>
    </r>
    <r>
      <rPr>
        <b/>
        <sz val="10"/>
        <rFont val="Symbol"/>
        <family val="1"/>
      </rPr>
      <t>g</t>
    </r>
    <r>
      <rPr>
        <b/>
        <vertAlign val="subscript"/>
        <sz val="10"/>
        <rFont val="VNI-Times"/>
        <family val="0"/>
      </rPr>
      <t>i</t>
    </r>
    <r>
      <rPr>
        <b/>
        <sz val="10"/>
        <rFont val="VNI-Times"/>
        <family val="0"/>
      </rPr>
      <t xml:space="preserve">       </t>
    </r>
  </si>
  <si>
    <t xml:space="preserve">    Moâ hình tính toaùn ñoä luùn laø nöûa khoâng gian bieán daïng tuyeán tính vôùi haïn cheá quy öôùc  neàn coù chieàu daøy töø ñeá </t>
  </si>
  <si>
    <t>moùng ñeán ñoä saâu taïi ñoù öùng suaát gaây luùn baèng 20% öùng suaát do troïng löôïng baûn thaân ñaát gaây ra.</t>
  </si>
  <si>
    <r>
      <t>s</t>
    </r>
    <r>
      <rPr>
        <b/>
        <vertAlign val="subscript"/>
        <sz val="10"/>
        <color indexed="12"/>
        <rFont val="Symbol"/>
        <family val="1"/>
      </rPr>
      <t xml:space="preserve"> </t>
    </r>
    <r>
      <rPr>
        <b/>
        <sz val="10"/>
        <color indexed="12"/>
        <rFont val="VNI-Times"/>
        <family val="0"/>
      </rPr>
      <t xml:space="preserve"> </t>
    </r>
    <r>
      <rPr>
        <b/>
        <vertAlign val="superscript"/>
        <sz val="10"/>
        <color indexed="12"/>
        <rFont val="VNI-Times"/>
        <family val="0"/>
      </rPr>
      <t xml:space="preserve">bt </t>
    </r>
  </si>
  <si>
    <r>
      <t>P</t>
    </r>
    <r>
      <rPr>
        <b/>
        <vertAlign val="subscript"/>
        <sz val="10"/>
        <color indexed="12"/>
        <rFont val="VNI-Times"/>
        <family val="0"/>
      </rPr>
      <t>1i</t>
    </r>
  </si>
  <si>
    <r>
      <t>s</t>
    </r>
    <r>
      <rPr>
        <b/>
        <vertAlign val="subscript"/>
        <sz val="10"/>
        <color indexed="12"/>
        <rFont val="Symbol"/>
        <family val="1"/>
      </rPr>
      <t xml:space="preserve"> </t>
    </r>
    <r>
      <rPr>
        <b/>
        <vertAlign val="superscript"/>
        <sz val="10"/>
        <color indexed="12"/>
        <rFont val="VNI-Times"/>
        <family val="0"/>
      </rPr>
      <t xml:space="preserve">gl </t>
    </r>
  </si>
  <si>
    <r>
      <t>s</t>
    </r>
    <r>
      <rPr>
        <b/>
        <vertAlign val="subscript"/>
        <sz val="10"/>
        <color indexed="12"/>
        <rFont val="Symbol"/>
        <family val="1"/>
      </rPr>
      <t xml:space="preserve"> </t>
    </r>
    <r>
      <rPr>
        <b/>
        <vertAlign val="subscript"/>
        <sz val="10"/>
        <color indexed="12"/>
        <rFont val="VNI-Times"/>
        <family val="0"/>
      </rPr>
      <t>tb</t>
    </r>
    <r>
      <rPr>
        <b/>
        <sz val="10"/>
        <color indexed="12"/>
        <rFont val="VNI-Times"/>
        <family val="0"/>
      </rPr>
      <t xml:space="preserve"> </t>
    </r>
    <r>
      <rPr>
        <b/>
        <vertAlign val="superscript"/>
        <sz val="10"/>
        <color indexed="12"/>
        <rFont val="VNI-Times"/>
        <family val="0"/>
      </rPr>
      <t xml:space="preserve">gl </t>
    </r>
  </si>
  <si>
    <r>
      <t>P</t>
    </r>
    <r>
      <rPr>
        <b/>
        <vertAlign val="subscript"/>
        <sz val="10"/>
        <color indexed="12"/>
        <rFont val="VNI-Times"/>
        <family val="0"/>
      </rPr>
      <t>2i</t>
    </r>
  </si>
  <si>
    <r>
      <t>e</t>
    </r>
    <r>
      <rPr>
        <b/>
        <vertAlign val="subscript"/>
        <sz val="10"/>
        <color indexed="12"/>
        <rFont val="VNI-Times"/>
        <family val="0"/>
      </rPr>
      <t>1i</t>
    </r>
  </si>
  <si>
    <r>
      <t>e</t>
    </r>
    <r>
      <rPr>
        <b/>
        <vertAlign val="subscript"/>
        <sz val="10"/>
        <color indexed="12"/>
        <rFont val="VNI-Times"/>
        <family val="0"/>
      </rPr>
      <t>2i</t>
    </r>
  </si>
  <si>
    <r>
      <t>S</t>
    </r>
    <r>
      <rPr>
        <b/>
        <vertAlign val="subscript"/>
        <sz val="10"/>
        <color indexed="12"/>
        <rFont val="VNI-Times"/>
        <family val="0"/>
      </rPr>
      <t>i</t>
    </r>
    <r>
      <rPr>
        <b/>
        <sz val="10"/>
        <color indexed="12"/>
        <rFont val="VNI-Times"/>
        <family val="0"/>
      </rPr>
      <t>(cm)</t>
    </r>
  </si>
  <si>
    <r>
      <t>s</t>
    </r>
    <r>
      <rPr>
        <b/>
        <vertAlign val="subscript"/>
        <sz val="10"/>
        <color indexed="12"/>
        <rFont val="Symbol"/>
        <family val="1"/>
      </rPr>
      <t xml:space="preserve"> </t>
    </r>
    <r>
      <rPr>
        <b/>
        <vertAlign val="subscript"/>
        <sz val="10"/>
        <color indexed="12"/>
        <rFont val="VNI-Times"/>
        <family val="0"/>
      </rPr>
      <t>i</t>
    </r>
    <r>
      <rPr>
        <b/>
        <sz val="10"/>
        <color indexed="12"/>
        <rFont val="VNI-Times"/>
        <family val="0"/>
      </rPr>
      <t xml:space="preserve"> </t>
    </r>
    <r>
      <rPr>
        <b/>
        <vertAlign val="superscript"/>
        <sz val="10"/>
        <color indexed="12"/>
        <rFont val="VNI-Times"/>
        <family val="0"/>
      </rPr>
      <t xml:space="preserve">gl </t>
    </r>
  </si>
  <si>
    <r>
      <t>s</t>
    </r>
    <r>
      <rPr>
        <b/>
        <vertAlign val="subscript"/>
        <sz val="10"/>
        <color indexed="12"/>
        <rFont val="Symbol"/>
        <family val="1"/>
      </rPr>
      <t xml:space="preserve"> </t>
    </r>
    <r>
      <rPr>
        <b/>
        <vertAlign val="subscript"/>
        <sz val="10"/>
        <color indexed="12"/>
        <rFont val="VNI-Times"/>
        <family val="0"/>
      </rPr>
      <t>i</t>
    </r>
    <r>
      <rPr>
        <b/>
        <sz val="10"/>
        <color indexed="12"/>
        <rFont val="VNI-Times"/>
        <family val="0"/>
      </rPr>
      <t xml:space="preserve"> </t>
    </r>
    <r>
      <rPr>
        <b/>
        <vertAlign val="superscript"/>
        <sz val="10"/>
        <color indexed="12"/>
        <rFont val="VNI-Times"/>
        <family val="0"/>
      </rPr>
      <t xml:space="preserve">bt </t>
    </r>
  </si>
  <si>
    <r>
      <t xml:space="preserve">s </t>
    </r>
    <r>
      <rPr>
        <b/>
        <vertAlign val="subscript"/>
        <sz val="10"/>
        <color indexed="12"/>
        <rFont val="VNI-Times"/>
        <family val="0"/>
      </rPr>
      <t>i</t>
    </r>
    <r>
      <rPr>
        <b/>
        <sz val="10"/>
        <color indexed="12"/>
        <rFont val="VNI-Times"/>
        <family val="0"/>
      </rPr>
      <t xml:space="preserve"> </t>
    </r>
    <r>
      <rPr>
        <b/>
        <vertAlign val="superscript"/>
        <sz val="10"/>
        <color indexed="12"/>
        <rFont val="VNI-Times"/>
        <family val="0"/>
      </rPr>
      <t>bt</t>
    </r>
    <r>
      <rPr>
        <b/>
        <sz val="10"/>
        <color indexed="12"/>
        <rFont val="Symbol"/>
        <family val="1"/>
      </rPr>
      <t xml:space="preserve"> /s</t>
    </r>
    <r>
      <rPr>
        <b/>
        <vertAlign val="subscript"/>
        <sz val="10"/>
        <color indexed="12"/>
        <rFont val="Symbol"/>
        <family val="1"/>
      </rPr>
      <t xml:space="preserve"> </t>
    </r>
    <r>
      <rPr>
        <b/>
        <vertAlign val="subscript"/>
        <sz val="10"/>
        <color indexed="12"/>
        <rFont val="VNI-Times"/>
        <family val="0"/>
      </rPr>
      <t>i</t>
    </r>
    <r>
      <rPr>
        <b/>
        <sz val="10"/>
        <color indexed="12"/>
        <rFont val="VNI-Times"/>
        <family val="0"/>
      </rPr>
      <t xml:space="preserve"> </t>
    </r>
    <r>
      <rPr>
        <b/>
        <vertAlign val="superscript"/>
        <sz val="10"/>
        <color indexed="12"/>
        <rFont val="VNI-Times"/>
        <family val="0"/>
      </rPr>
      <t xml:space="preserve">gl </t>
    </r>
  </si>
  <si>
    <t xml:space="preserve">           1. Caùc giaù trò öùng suaát trong baûng tính ñoä luùn coù ñôn vò tính ( KG/cm2)</t>
  </si>
  <si>
    <r>
      <t xml:space="preserve"> h</t>
    </r>
    <r>
      <rPr>
        <b/>
        <vertAlign val="subscript"/>
        <sz val="10"/>
        <color indexed="12"/>
        <rFont val="VNI-Times"/>
        <family val="0"/>
      </rPr>
      <t>i</t>
    </r>
    <r>
      <rPr>
        <b/>
        <sz val="10"/>
        <color indexed="12"/>
        <rFont val="VNI-Times"/>
        <family val="0"/>
      </rPr>
      <t>(cm)</t>
    </r>
  </si>
  <si>
    <t xml:space="preserve"> z(m)</t>
  </si>
  <si>
    <t>(Ghi chuù : thoâng soá 1 &lt; thoâng soá 2)</t>
  </si>
  <si>
    <t>Vaäy söùc chòu taûi cuûa coïc xaùc ñònh theo cöôøng ñoä cuûa ñaát neàn</t>
  </si>
  <si>
    <t>Keát luaän : Söùc chiuï taûi cuûa coïc choïn ñeå tính toaùn moùng :</t>
  </si>
  <si>
    <t>(m) - Beà roäng moùng khoái quy öôùc.</t>
  </si>
  <si>
    <t>(m) - Chieàu daøi moùng khoái quy öôùc.</t>
  </si>
  <si>
    <r>
      <t>(T/m</t>
    </r>
    <r>
      <rPr>
        <vertAlign val="superscript"/>
        <sz val="10"/>
        <rFont val="VNI-Times"/>
        <family val="0"/>
      </rPr>
      <t>3</t>
    </r>
    <r>
      <rPr>
        <sz val="10"/>
        <rFont val="VNI-Times"/>
        <family val="0"/>
      </rPr>
      <t>) -Dung troïng ñaát ôû ñaùy moùng khoái quy öôùc.</t>
    </r>
  </si>
  <si>
    <t xml:space="preserve">(coù keå ñeán ñaåy noåi khi lôùp ñaát naèm döôùi möïc nöôùc ngaàm)     </t>
  </si>
  <si>
    <r>
      <t>g</t>
    </r>
    <r>
      <rPr>
        <vertAlign val="subscript"/>
        <sz val="10"/>
        <rFont val="VNI-Times"/>
        <family val="0"/>
      </rPr>
      <t xml:space="preserve">ñmq </t>
    </r>
    <r>
      <rPr>
        <sz val="10"/>
        <rFont val="VNI-Times"/>
        <family val="0"/>
      </rPr>
      <t xml:space="preserve">        = </t>
    </r>
  </si>
  <si>
    <r>
      <t>M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 xml:space="preserve"> x</t>
    </r>
    <r>
      <rPr>
        <sz val="10"/>
        <rFont val="VNI-Times"/>
        <family val="0"/>
      </rPr>
      <t xml:space="preserve">= </t>
    </r>
  </si>
  <si>
    <r>
      <t>M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 xml:space="preserve"> y</t>
    </r>
    <r>
      <rPr>
        <sz val="10"/>
        <rFont val="VNI-Times"/>
        <family val="0"/>
      </rPr>
      <t xml:space="preserve">= </t>
    </r>
  </si>
  <si>
    <r>
      <t xml:space="preserve">      Q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max</t>
    </r>
    <r>
      <rPr>
        <sz val="10"/>
        <rFont val="VNI-Times"/>
        <family val="0"/>
      </rPr>
      <t>= N</t>
    </r>
    <r>
      <rPr>
        <vertAlign val="superscript"/>
        <sz val="10"/>
        <rFont val="VNI-Times"/>
        <family val="0"/>
      </rPr>
      <t xml:space="preserve">tt </t>
    </r>
    <r>
      <rPr>
        <sz val="10"/>
        <rFont val="VNI-Times"/>
        <family val="0"/>
      </rPr>
      <t>/n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+ M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y</t>
    </r>
    <r>
      <rPr>
        <sz val="10"/>
        <rFont val="VNI-Times"/>
        <family val="0"/>
      </rPr>
      <t>* x</t>
    </r>
    <r>
      <rPr>
        <vertAlign val="superscript"/>
        <sz val="10"/>
        <rFont val="VNI-Times"/>
        <family val="0"/>
      </rPr>
      <t>max</t>
    </r>
    <r>
      <rPr>
        <vertAlign val="subscript"/>
        <sz val="10"/>
        <rFont val="VNI-Times"/>
        <family val="0"/>
      </rPr>
      <t>neùn</t>
    </r>
    <r>
      <rPr>
        <sz val="10"/>
        <rFont val="VNI-Times"/>
        <family val="0"/>
      </rPr>
      <t>/</t>
    </r>
    <r>
      <rPr>
        <sz val="10"/>
        <rFont val="Symbol"/>
        <family val="1"/>
      </rPr>
      <t xml:space="preserve"> å </t>
    </r>
    <r>
      <rPr>
        <sz val="10"/>
        <rFont val="VNI-Times"/>
        <family val="0"/>
      </rPr>
      <t>x</t>
    </r>
    <r>
      <rPr>
        <vertAlign val="superscript"/>
        <sz val="10"/>
        <rFont val="VNI-Times"/>
        <family val="0"/>
      </rPr>
      <t>2</t>
    </r>
    <r>
      <rPr>
        <vertAlign val="subscript"/>
        <sz val="10"/>
        <rFont val="VNI-Times"/>
        <family val="0"/>
      </rPr>
      <t>i</t>
    </r>
    <r>
      <rPr>
        <sz val="10"/>
        <rFont val="Symbol"/>
        <family val="1"/>
      </rPr>
      <t xml:space="preserve">+ </t>
    </r>
    <r>
      <rPr>
        <sz val="10"/>
        <rFont val="VNI-Times"/>
        <family val="0"/>
      </rPr>
      <t>M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x</t>
    </r>
    <r>
      <rPr>
        <sz val="10"/>
        <rFont val="VNI-Times"/>
        <family val="0"/>
      </rPr>
      <t>* y</t>
    </r>
    <r>
      <rPr>
        <vertAlign val="superscript"/>
        <sz val="10"/>
        <rFont val="VNI-Times"/>
        <family val="0"/>
      </rPr>
      <t>max</t>
    </r>
    <r>
      <rPr>
        <vertAlign val="subscript"/>
        <sz val="10"/>
        <rFont val="VNI-Times"/>
        <family val="0"/>
      </rPr>
      <t>neùn</t>
    </r>
    <r>
      <rPr>
        <sz val="10"/>
        <rFont val="Symbol"/>
        <family val="1"/>
      </rPr>
      <t xml:space="preserve">/ å </t>
    </r>
    <r>
      <rPr>
        <sz val="10"/>
        <rFont val="VNI-Times"/>
        <family val="0"/>
      </rPr>
      <t>y</t>
    </r>
    <r>
      <rPr>
        <vertAlign val="superscript"/>
        <sz val="10"/>
        <rFont val="VNI-Times"/>
        <family val="0"/>
      </rPr>
      <t>2</t>
    </r>
    <r>
      <rPr>
        <vertAlign val="subscript"/>
        <sz val="10"/>
        <rFont val="VNI-Times"/>
        <family val="0"/>
      </rPr>
      <t>i</t>
    </r>
  </si>
  <si>
    <r>
      <t xml:space="preserve">      Q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min</t>
    </r>
    <r>
      <rPr>
        <sz val="10"/>
        <rFont val="VNI-Times"/>
        <family val="0"/>
      </rPr>
      <t>= N</t>
    </r>
    <r>
      <rPr>
        <vertAlign val="superscript"/>
        <sz val="10"/>
        <rFont val="VNI-Times"/>
        <family val="0"/>
      </rPr>
      <t xml:space="preserve">tt </t>
    </r>
    <r>
      <rPr>
        <sz val="10"/>
        <rFont val="VNI-Times"/>
        <family val="0"/>
      </rPr>
      <t>/n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- M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y</t>
    </r>
    <r>
      <rPr>
        <sz val="10"/>
        <rFont val="VNI-Times"/>
        <family val="0"/>
      </rPr>
      <t>* x</t>
    </r>
    <r>
      <rPr>
        <vertAlign val="superscript"/>
        <sz val="10"/>
        <rFont val="VNI-Times"/>
        <family val="0"/>
      </rPr>
      <t>max</t>
    </r>
    <r>
      <rPr>
        <vertAlign val="subscript"/>
        <sz val="10"/>
        <rFont val="VNI-Times"/>
        <family val="0"/>
      </rPr>
      <t>neùn</t>
    </r>
    <r>
      <rPr>
        <sz val="10"/>
        <rFont val="VNI-Times"/>
        <family val="0"/>
      </rPr>
      <t>/</t>
    </r>
    <r>
      <rPr>
        <sz val="10"/>
        <rFont val="Symbol"/>
        <family val="1"/>
      </rPr>
      <t xml:space="preserve"> å </t>
    </r>
    <r>
      <rPr>
        <sz val="10"/>
        <rFont val="VNI-Times"/>
        <family val="0"/>
      </rPr>
      <t>x</t>
    </r>
    <r>
      <rPr>
        <vertAlign val="superscript"/>
        <sz val="10"/>
        <rFont val="VNI-Times"/>
        <family val="0"/>
      </rPr>
      <t>2</t>
    </r>
    <r>
      <rPr>
        <vertAlign val="subscript"/>
        <sz val="10"/>
        <rFont val="VNI-Times"/>
        <family val="0"/>
      </rPr>
      <t>i</t>
    </r>
    <r>
      <rPr>
        <sz val="10"/>
        <rFont val="VNI-Times"/>
        <family val="0"/>
      </rPr>
      <t>-</t>
    </r>
    <r>
      <rPr>
        <sz val="10"/>
        <rFont val="Symbol"/>
        <family val="1"/>
      </rPr>
      <t xml:space="preserve"> </t>
    </r>
    <r>
      <rPr>
        <sz val="10"/>
        <rFont val="VNI-Times"/>
        <family val="0"/>
      </rPr>
      <t>M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x</t>
    </r>
    <r>
      <rPr>
        <sz val="10"/>
        <rFont val="VNI-Times"/>
        <family val="0"/>
      </rPr>
      <t>* y</t>
    </r>
    <r>
      <rPr>
        <vertAlign val="superscript"/>
        <sz val="10"/>
        <rFont val="VNI-Times"/>
        <family val="0"/>
      </rPr>
      <t>max</t>
    </r>
    <r>
      <rPr>
        <vertAlign val="subscript"/>
        <sz val="10"/>
        <rFont val="VNI-Times"/>
        <family val="0"/>
      </rPr>
      <t>neùn</t>
    </r>
    <r>
      <rPr>
        <sz val="10"/>
        <rFont val="Symbol"/>
        <family val="1"/>
      </rPr>
      <t xml:space="preserve">/ å </t>
    </r>
    <r>
      <rPr>
        <sz val="10"/>
        <rFont val="VNI-Times"/>
        <family val="0"/>
      </rPr>
      <t>y</t>
    </r>
    <r>
      <rPr>
        <vertAlign val="superscript"/>
        <sz val="10"/>
        <rFont val="VNI-Times"/>
        <family val="0"/>
      </rPr>
      <t>2</t>
    </r>
    <r>
      <rPr>
        <vertAlign val="subscript"/>
        <sz val="10"/>
        <rFont val="VNI-Times"/>
        <family val="0"/>
      </rPr>
      <t>i</t>
    </r>
  </si>
  <si>
    <r>
      <t xml:space="preserve"> </t>
    </r>
    <r>
      <rPr>
        <sz val="10"/>
        <rFont val="Symbol"/>
        <family val="1"/>
      </rPr>
      <t xml:space="preserve"> å </t>
    </r>
    <r>
      <rPr>
        <sz val="10"/>
        <rFont val="VNI-Times"/>
        <family val="0"/>
      </rPr>
      <t>x</t>
    </r>
    <r>
      <rPr>
        <vertAlign val="superscript"/>
        <sz val="10"/>
        <rFont val="VNI-Times"/>
        <family val="0"/>
      </rPr>
      <t>2</t>
    </r>
    <r>
      <rPr>
        <vertAlign val="subscript"/>
        <sz val="10"/>
        <rFont val="VNI-Times"/>
        <family val="0"/>
      </rPr>
      <t>i</t>
    </r>
    <r>
      <rPr>
        <sz val="10"/>
        <rFont val="Symbol"/>
        <family val="1"/>
      </rPr>
      <t>=</t>
    </r>
  </si>
  <si>
    <r>
      <t xml:space="preserve">   x</t>
    </r>
    <r>
      <rPr>
        <vertAlign val="superscript"/>
        <sz val="10"/>
        <rFont val="VNI-Times"/>
        <family val="0"/>
      </rPr>
      <t>max</t>
    </r>
    <r>
      <rPr>
        <vertAlign val="subscript"/>
        <sz val="10"/>
        <rFont val="VNI-Times"/>
        <family val="0"/>
      </rPr>
      <t>neùn</t>
    </r>
    <r>
      <rPr>
        <sz val="10"/>
        <rFont val="VNI-Times"/>
        <family val="0"/>
      </rPr>
      <t xml:space="preserve">  = </t>
    </r>
  </si>
  <si>
    <r>
      <t xml:space="preserve"> </t>
    </r>
    <r>
      <rPr>
        <sz val="10"/>
        <rFont val="Symbol"/>
        <family val="1"/>
      </rPr>
      <t xml:space="preserve"> å </t>
    </r>
    <r>
      <rPr>
        <sz val="10"/>
        <rFont val="VNI-Times"/>
        <family val="0"/>
      </rPr>
      <t>y</t>
    </r>
    <r>
      <rPr>
        <vertAlign val="superscript"/>
        <sz val="10"/>
        <rFont val="VNI-Times"/>
        <family val="0"/>
      </rPr>
      <t>2</t>
    </r>
    <r>
      <rPr>
        <vertAlign val="subscript"/>
        <sz val="10"/>
        <rFont val="VNI-Times"/>
        <family val="0"/>
      </rPr>
      <t>i</t>
    </r>
    <r>
      <rPr>
        <sz val="10"/>
        <rFont val="Symbol"/>
        <family val="1"/>
      </rPr>
      <t>=</t>
    </r>
  </si>
  <si>
    <t>Thoâng soá 1</t>
  </si>
  <si>
    <t>Giaùtrò thsoá 1</t>
  </si>
  <si>
    <t>Thoâng soá 2</t>
  </si>
  <si>
    <t>Giaùtrò thsoá 2</t>
  </si>
  <si>
    <t>Thoâng soá trung gian</t>
  </si>
  <si>
    <t>Giaùtrò thsoá trung gian</t>
  </si>
  <si>
    <t>BAÛNG NOÄI SUY TUYEÁN TÍNH.</t>
  </si>
  <si>
    <t>LÔÙP 1</t>
  </si>
  <si>
    <t>LÔÙP 2</t>
  </si>
  <si>
    <t>TEÂN LÔÙP</t>
  </si>
  <si>
    <t>STT</t>
  </si>
  <si>
    <t>Hi (m)</t>
  </si>
  <si>
    <t>Zi(m)</t>
  </si>
  <si>
    <t>LÔÙP 3</t>
  </si>
  <si>
    <t>`</t>
  </si>
  <si>
    <t>LÔÙP 4</t>
  </si>
  <si>
    <t xml:space="preserve">CHIA LÔÙP ÑAÁT  COÏC L36,D35,H3 </t>
  </si>
  <si>
    <t>LÔÙP 5</t>
  </si>
  <si>
    <t xml:space="preserve">CHIA LÔÙP ÑAÁT  COÏC L49,D40,H3 </t>
  </si>
  <si>
    <t xml:space="preserve">CHIA LÔÙP ÑAÁT  COÏC L21,D25,H3 </t>
  </si>
  <si>
    <t>(m) - Toång bình phöông khoaûng caùch theo phöông x töø taâm caùc haøng coïc ñeán taâm ñaøi</t>
  </si>
  <si>
    <t>(m) - Toång bình phöông khoaûng caùch theo phöông y töø taâm caùc haøng coïc ñeán taâm ñaøi</t>
  </si>
  <si>
    <r>
      <t xml:space="preserve">   y</t>
    </r>
    <r>
      <rPr>
        <vertAlign val="superscript"/>
        <sz val="10"/>
        <rFont val="VNI-Times"/>
        <family val="0"/>
      </rPr>
      <t>max</t>
    </r>
    <r>
      <rPr>
        <vertAlign val="subscript"/>
        <sz val="10"/>
        <rFont val="VNI-Times"/>
        <family val="0"/>
      </rPr>
      <t>neùn</t>
    </r>
    <r>
      <rPr>
        <sz val="10"/>
        <rFont val="VNI-Times"/>
        <family val="0"/>
      </rPr>
      <t xml:space="preserve">  = </t>
    </r>
  </si>
  <si>
    <t>(m) - khoaûûng caùch töø taâm haøng coïc chòu neùn lôùn nhaát theo phöông x ñeán taâm ñaøi</t>
  </si>
  <si>
    <t>(m) - khoaûûng caùch töø taâm haøng coïc chòu neùn lôùn nhaát theo phöông y ñeán taâm ñaøi</t>
  </si>
  <si>
    <r>
      <t>å</t>
    </r>
    <r>
      <rPr>
        <sz val="10"/>
        <color indexed="12"/>
        <rFont val="VNI-Times"/>
        <family val="0"/>
      </rPr>
      <t xml:space="preserve"> x</t>
    </r>
    <r>
      <rPr>
        <vertAlign val="superscript"/>
        <sz val="10"/>
        <color indexed="12"/>
        <rFont val="VNI-Times"/>
        <family val="0"/>
      </rPr>
      <t>2</t>
    </r>
    <r>
      <rPr>
        <vertAlign val="subscript"/>
        <sz val="10"/>
        <color indexed="12"/>
        <rFont val="VNI-Times"/>
        <family val="0"/>
      </rPr>
      <t>i</t>
    </r>
  </si>
  <si>
    <r>
      <t>å</t>
    </r>
    <r>
      <rPr>
        <sz val="10"/>
        <color indexed="12"/>
        <rFont val="VNI-Times"/>
        <family val="0"/>
      </rPr>
      <t xml:space="preserve"> y</t>
    </r>
    <r>
      <rPr>
        <vertAlign val="superscript"/>
        <sz val="10"/>
        <color indexed="12"/>
        <rFont val="VNI-Times"/>
        <family val="0"/>
      </rPr>
      <t>2</t>
    </r>
    <r>
      <rPr>
        <vertAlign val="subscript"/>
        <sz val="10"/>
        <color indexed="12"/>
        <rFont val="VNI-Times"/>
        <family val="0"/>
      </rPr>
      <t>i</t>
    </r>
  </si>
  <si>
    <t>TEÂN MOÙNG :</t>
  </si>
  <si>
    <t>TEÂN MOÙNG:</t>
  </si>
  <si>
    <t>2. Haï coïc baèng caùch ñoùng vaøo loã khoan moài vôùi ñoä saâu muõi coïc khoâng nhoû hôn 1m döôùi ñaùy</t>
  </si>
  <si>
    <t xml:space="preserve"> xoùi nöôùc</t>
  </si>
  <si>
    <r>
      <t>Z</t>
    </r>
    <r>
      <rPr>
        <b/>
        <vertAlign val="subscript"/>
        <sz val="10"/>
        <rFont val="VNI-Times"/>
        <family val="0"/>
      </rPr>
      <t>i</t>
    </r>
    <r>
      <rPr>
        <b/>
        <sz val="10"/>
        <rFont val="VNI-Times"/>
        <family val="0"/>
      </rPr>
      <t xml:space="preserve"> (m)</t>
    </r>
  </si>
  <si>
    <t xml:space="preserve">3. Haï coïc coù xoùi nöôùc trong ñaát caùt vôùi ñieàu kieän ñoùng tieáp coïc ôû meùt cuoái cuøng khoâng coù </t>
  </si>
  <si>
    <t>4.Rung vaø eùp coïc vaøo :</t>
  </si>
  <si>
    <t xml:space="preserve">  a) Ñaát caùt chaët vöøa:</t>
  </si>
  <si>
    <t xml:space="preserve">      - Caùt thoâ vaø thoâ vöøa</t>
  </si>
  <si>
    <t xml:space="preserve">      - Caùt mòn</t>
  </si>
  <si>
    <t>(m) - Chieàu daøi coïc.</t>
  </si>
  <si>
    <t xml:space="preserve"> 3. - Boû qua lôùp ñaát san laáp daøy 2m vaø laáy ñoù laøm cao ñoä maët ñaát töï nhieân.</t>
  </si>
  <si>
    <t xml:space="preserve"> 4. - Coïc ñoùng saâu</t>
  </si>
  <si>
    <t xml:space="preserve">(m)- töø cao 0.00m ñoä giaû ñònh.(Naèm döôùi cao ñoä khaûo saùt ñòa chaát 2m). </t>
  </si>
  <si>
    <t xml:space="preserve">      - Caùt buïi</t>
  </si>
  <si>
    <r>
      <t xml:space="preserve">  b) Ñaát seùt coù ñoä seät I</t>
    </r>
    <r>
      <rPr>
        <vertAlign val="subscript"/>
        <sz val="10"/>
        <rFont val="VNI-Times"/>
        <family val="0"/>
      </rPr>
      <t>L</t>
    </r>
    <r>
      <rPr>
        <sz val="10"/>
        <rFont val="VNI-Times"/>
        <family val="0"/>
      </rPr>
      <t xml:space="preserve"> =0.5</t>
    </r>
  </si>
  <si>
    <t xml:space="preserve">      - AÙ caùt </t>
  </si>
  <si>
    <t xml:space="preserve">      - AÙ seùt</t>
  </si>
  <si>
    <t xml:space="preserve">      - Seùt</t>
  </si>
  <si>
    <r>
      <t xml:space="preserve">  c) Ñaát seùt coù ñoä seät I</t>
    </r>
    <r>
      <rPr>
        <vertAlign val="subscript"/>
        <sz val="10"/>
        <rFont val="VNI-Times"/>
        <family val="0"/>
      </rPr>
      <t>L</t>
    </r>
    <r>
      <rPr>
        <sz val="10"/>
        <rFont val="VNI-Times"/>
        <family val="0"/>
      </rPr>
      <t xml:space="preserve"> &lt; = 0</t>
    </r>
  </si>
  <si>
    <t xml:space="preserve">  a) Khi ñöôøng kính loã roãng cuûa coïc &lt;=40cm</t>
  </si>
  <si>
    <t xml:space="preserve">  b) Khi ñöôøng kính loã roãng cuûa coïc &gt;40cm</t>
  </si>
  <si>
    <t>Kích thöôùc moùng:</t>
  </si>
  <si>
    <r>
      <t>(Vôùi h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 h</t>
    </r>
    <r>
      <rPr>
        <vertAlign val="subscript"/>
        <sz val="10"/>
        <rFont val="VNI-Times"/>
        <family val="0"/>
      </rPr>
      <t>ñ</t>
    </r>
    <r>
      <rPr>
        <sz val="10"/>
        <rFont val="VNI-Times"/>
        <family val="0"/>
      </rPr>
      <t xml:space="preserve"> -20cm)</t>
    </r>
  </si>
  <si>
    <r>
      <t xml:space="preserve">s </t>
    </r>
    <r>
      <rPr>
        <vertAlign val="superscript"/>
        <sz val="10"/>
        <rFont val="VNI-Times"/>
        <family val="0"/>
      </rPr>
      <t>tc</t>
    </r>
    <r>
      <rPr>
        <vertAlign val="subscript"/>
        <sz val="10"/>
        <rFont val="VNI-Times"/>
        <family val="0"/>
      </rPr>
      <t>tb</t>
    </r>
    <r>
      <rPr>
        <sz val="10"/>
        <rFont val="VNI-Times"/>
        <family val="0"/>
      </rPr>
      <t xml:space="preserve">   </t>
    </r>
    <r>
      <rPr>
        <vertAlign val="subscript"/>
        <sz val="10"/>
        <rFont val="VNI-Times"/>
        <family val="0"/>
      </rPr>
      <t xml:space="preserve"> </t>
    </r>
    <r>
      <rPr>
        <sz val="10"/>
        <rFont val="VNI-Times"/>
        <family val="0"/>
      </rPr>
      <t xml:space="preserve">    = </t>
    </r>
  </si>
  <si>
    <r>
      <t>å</t>
    </r>
    <r>
      <rPr>
        <sz val="10"/>
        <rFont val="VNI-Times"/>
        <family val="0"/>
      </rPr>
      <t>h</t>
    </r>
    <r>
      <rPr>
        <vertAlign val="subscript"/>
        <sz val="10"/>
        <rFont val="VNI-Times"/>
        <family val="0"/>
      </rPr>
      <t>i</t>
    </r>
    <r>
      <rPr>
        <sz val="10"/>
        <rFont val="Symbol"/>
        <family val="1"/>
      </rPr>
      <t>g</t>
    </r>
    <r>
      <rPr>
        <vertAlign val="subscript"/>
        <sz val="10"/>
        <rFont val="VNI-Times"/>
        <family val="0"/>
      </rPr>
      <t>i</t>
    </r>
    <r>
      <rPr>
        <sz val="10"/>
        <rFont val="VNI-Times"/>
        <family val="0"/>
      </rPr>
      <t xml:space="preserve">   </t>
    </r>
    <r>
      <rPr>
        <sz val="10"/>
        <rFont val="VNI-Times"/>
        <family val="0"/>
      </rPr>
      <t xml:space="preserve">   = </t>
    </r>
  </si>
  <si>
    <t>Bmq       =</t>
  </si>
  <si>
    <t xml:space="preserve">Lmq       =  </t>
  </si>
  <si>
    <r>
      <t>g</t>
    </r>
    <r>
      <rPr>
        <vertAlign val="subscript"/>
        <sz val="10"/>
        <rFont val="VNI-Times"/>
        <family val="0"/>
      </rPr>
      <t>ñmq</t>
    </r>
    <r>
      <rPr>
        <sz val="10"/>
        <rFont val="VNI-Times"/>
        <family val="0"/>
      </rPr>
      <t xml:space="preserve">       = </t>
    </r>
  </si>
  <si>
    <r>
      <t xml:space="preserve">s </t>
    </r>
    <r>
      <rPr>
        <vertAlign val="superscript"/>
        <sz val="10"/>
        <rFont val="VNI-Times"/>
        <family val="0"/>
      </rPr>
      <t>gl</t>
    </r>
    <r>
      <rPr>
        <vertAlign val="subscript"/>
        <sz val="10"/>
        <rFont val="VNI-Times"/>
        <family val="0"/>
      </rPr>
      <t>z =0</t>
    </r>
    <r>
      <rPr>
        <sz val="10"/>
        <rFont val="VNI-Times"/>
        <family val="0"/>
      </rPr>
      <t xml:space="preserve">  </t>
    </r>
    <r>
      <rPr>
        <sz val="10"/>
        <rFont val="VNI-Times"/>
        <family val="0"/>
      </rPr>
      <t xml:space="preserve"> = </t>
    </r>
  </si>
  <si>
    <r>
      <t>Chia chieàu daøy lôùp ñaát thaønh caùc lôùp coù chieàu daøy  h</t>
    </r>
    <r>
      <rPr>
        <vertAlign val="subscript"/>
        <sz val="10"/>
        <rFont val="VNI-Times"/>
        <family val="0"/>
      </rPr>
      <t xml:space="preserve">i </t>
    </r>
    <r>
      <rPr>
        <sz val="10"/>
        <rFont val="VNI-Times"/>
        <family val="0"/>
      </rPr>
      <t>= B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/5 = </t>
    </r>
  </si>
  <si>
    <r>
      <t>1) Trong nhöõng tröôøng hôïp khi maø ôû baûng A1 caùc trò soá cuûa q</t>
    </r>
    <r>
      <rPr>
        <vertAlign val="subscript"/>
        <sz val="10"/>
        <rFont val="VNI-Times"/>
        <family val="0"/>
      </rPr>
      <t>p</t>
    </r>
    <r>
      <rPr>
        <sz val="10"/>
        <rFont val="VNI-Times"/>
        <family val="0"/>
      </rPr>
      <t xml:space="preserve"> trình baøy ôû daïng </t>
    </r>
    <r>
      <rPr>
        <b/>
        <sz val="10"/>
        <rFont val="VNI-Times"/>
        <family val="0"/>
      </rPr>
      <t>phaân soá</t>
    </r>
    <r>
      <rPr>
        <sz val="10"/>
        <rFont val="VNI-Times"/>
        <family val="0"/>
      </rPr>
      <t xml:space="preserve">,thì </t>
    </r>
    <r>
      <rPr>
        <b/>
        <sz val="10"/>
        <color indexed="12"/>
        <rFont val="VNI-Times"/>
        <family val="0"/>
      </rPr>
      <t>töû soá laø cuûa caùt</t>
    </r>
    <r>
      <rPr>
        <b/>
        <sz val="10"/>
        <rFont val="VNI-Times"/>
        <family val="0"/>
      </rPr>
      <t xml:space="preserve"> , coøn </t>
    </r>
    <r>
      <rPr>
        <b/>
        <sz val="10"/>
        <color indexed="12"/>
        <rFont val="VNI-Times"/>
        <family val="0"/>
      </rPr>
      <t>maãu soá laø cuûa seùt.</t>
    </r>
  </si>
  <si>
    <r>
      <t>3) Ñoái vôùi caùc giaù trò trung gian cuûa ñoä saâu vaø chæ soá ñoä seät thì xaùc ñònh q</t>
    </r>
    <r>
      <rPr>
        <vertAlign val="subscript"/>
        <sz val="10"/>
        <rFont val="VNI-Times"/>
        <family val="0"/>
      </rPr>
      <t>p</t>
    </r>
    <r>
      <rPr>
        <sz val="10"/>
        <rFont val="VNI-Times"/>
        <family val="0"/>
      </rPr>
      <t xml:space="preserve"> vaøf</t>
    </r>
    <r>
      <rPr>
        <vertAlign val="subscript"/>
        <sz val="10"/>
        <rFont val="VNI-Times"/>
        <family val="0"/>
      </rPr>
      <t>s</t>
    </r>
    <r>
      <rPr>
        <sz val="10"/>
        <rFont val="VNI-Times"/>
        <family val="0"/>
      </rPr>
      <t xml:space="preserve"> baèng</t>
    </r>
    <r>
      <rPr>
        <sz val="10"/>
        <color indexed="12"/>
        <rFont val="VNI-Times"/>
        <family val="0"/>
      </rPr>
      <t xml:space="preserve"> </t>
    </r>
    <r>
      <rPr>
        <b/>
        <sz val="10"/>
        <color indexed="12"/>
        <rFont val="VNI-Times"/>
        <family val="0"/>
      </rPr>
      <t>phöông phaùp noäi suy</t>
    </r>
    <r>
      <rPr>
        <b/>
        <sz val="10"/>
        <rFont val="VNI-Times"/>
        <family val="0"/>
      </rPr>
      <t>.</t>
    </r>
  </si>
  <si>
    <r>
      <t>5) Ma saùt beân tính toaùn</t>
    </r>
    <r>
      <rPr>
        <b/>
        <sz val="10"/>
        <rFont val="VNI-Times"/>
        <family val="0"/>
      </rPr>
      <t xml:space="preserve"> </t>
    </r>
    <r>
      <rPr>
        <b/>
        <sz val="10"/>
        <color indexed="12"/>
        <rFont val="VNI-Times"/>
        <family val="0"/>
      </rPr>
      <t>fs cuûa ñaát caùt chaët neân taêng theâm 30%</t>
    </r>
    <r>
      <rPr>
        <b/>
        <sz val="10"/>
        <rFont val="VNI-Times"/>
        <family val="0"/>
      </rPr>
      <t xml:space="preserve"> </t>
    </r>
    <r>
      <rPr>
        <sz val="10"/>
        <rFont val="VNI-Times"/>
        <family val="0"/>
      </rPr>
      <t>so vôùi giaù trò trình baøy trong baûng A2.</t>
    </r>
  </si>
  <si>
    <r>
      <t>4) Khi xaùc ñònh ma saùt beân fs theo baûng A2, ñaát neàn chia thaønh caùc lôùp nhoû ñoàng nhaát coù</t>
    </r>
    <r>
      <rPr>
        <b/>
        <sz val="10"/>
        <rFont val="VNI-Times"/>
        <family val="0"/>
      </rPr>
      <t xml:space="preserve"> </t>
    </r>
    <r>
      <rPr>
        <b/>
        <sz val="10"/>
        <color indexed="12"/>
        <rFont val="VNI-Times"/>
        <family val="0"/>
      </rPr>
      <t>chieàu daøy khoâng quaù 2m</t>
    </r>
    <r>
      <rPr>
        <b/>
        <sz val="10"/>
        <rFont val="VNI-Times"/>
        <family val="0"/>
      </rPr>
      <t>.</t>
    </r>
  </si>
  <si>
    <r>
      <t>2) Trong baûng A1 vaø A2,</t>
    </r>
    <r>
      <rPr>
        <sz val="10"/>
        <color indexed="12"/>
        <rFont val="VNI-Times"/>
        <family val="0"/>
      </rPr>
      <t xml:space="preserve"> </t>
    </r>
    <r>
      <rPr>
        <b/>
        <sz val="10"/>
        <color indexed="12"/>
        <rFont val="VNI-Times"/>
        <family val="0"/>
      </rPr>
      <t>ñoä saâu muõi coïc</t>
    </r>
    <r>
      <rPr>
        <sz val="10"/>
        <rFont val="VNI-Times"/>
        <family val="0"/>
      </rPr>
      <t xml:space="preserve"> laø ñoä saâu trung bình cuûa lôùp ñaát khi san neàn baèng phöông phaùp goït boû hoaëc ñaép ñaày daøy ñeán 3m</t>
    </r>
  </si>
  <si>
    <t>Thoâ &amp; thoâ vöøa</t>
  </si>
  <si>
    <r>
      <t xml:space="preserve">    -  n</t>
    </r>
    <r>
      <rPr>
        <vertAlign val="subscript"/>
        <sz val="10"/>
        <rFont val="VNI-Times"/>
        <family val="0"/>
      </rPr>
      <t>hx</t>
    </r>
    <r>
      <rPr>
        <sz val="10"/>
        <rFont val="VNI-Times"/>
        <family val="0"/>
      </rPr>
      <t>=</t>
    </r>
  </si>
  <si>
    <r>
      <t xml:space="preserve">    -  n</t>
    </r>
    <r>
      <rPr>
        <vertAlign val="subscript"/>
        <sz val="10"/>
        <rFont val="VNI-Times"/>
        <family val="0"/>
      </rPr>
      <t>hy</t>
    </r>
    <r>
      <rPr>
        <sz val="10"/>
        <rFont val="VNI-Times"/>
        <family val="0"/>
      </rPr>
      <t>=</t>
    </r>
  </si>
  <si>
    <t>5. Haï coïc roãng hôû muõi baèng buùa coù keát caáu baát kyø.</t>
  </si>
  <si>
    <t xml:space="preserve">6. Coïc troøn roãng , bòt muõi, haï baèng phöông phaùp baát kyø, tôùi ñoä saâu lôùn hôn 10m, sau ñoù coù </t>
  </si>
  <si>
    <t xml:space="preserve"> môû roäng muõi coïc baèng caùch noå mìn trong ñaát caùt chaët vöøa vaø trong ñaát seùt coù ñoä seät IL&lt;=0.5</t>
  </si>
  <si>
    <t xml:space="preserve"> khi ñöôøng lính môû roäng baèng:</t>
  </si>
  <si>
    <t xml:space="preserve">  a) 1m, khoâng phuï thuoäc vaøo loaïi ñaát noùi treân.</t>
  </si>
  <si>
    <t xml:space="preserve">  b) 1.5m, trong ñaát caùt vaø aù caùt.</t>
  </si>
  <si>
    <t xml:space="preserve">  a) 1.5m, trong ñaát seùt vaø aù seùt.</t>
  </si>
  <si>
    <t>Chuù thích:</t>
  </si>
  <si>
    <t xml:space="preserve"> + Theùp : </t>
  </si>
  <si>
    <r>
      <t>F</t>
    </r>
    <r>
      <rPr>
        <vertAlign val="subscript"/>
        <sz val="10"/>
        <rFont val="VNI-Times"/>
        <family val="0"/>
      </rPr>
      <t>ñ</t>
    </r>
    <r>
      <rPr>
        <sz val="10"/>
        <rFont val="VNI-Times"/>
        <family val="0"/>
      </rPr>
      <t xml:space="preserve"> = N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/(P</t>
    </r>
    <r>
      <rPr>
        <vertAlign val="superscript"/>
        <sz val="10"/>
        <rFont val="VNI-Times"/>
        <family val="0"/>
      </rPr>
      <t>tt</t>
    </r>
    <r>
      <rPr>
        <sz val="10"/>
        <rFont val="VNI-Times"/>
        <family val="0"/>
      </rPr>
      <t xml:space="preserve"> -1.1</t>
    </r>
    <r>
      <rPr>
        <sz val="10"/>
        <rFont val="Symbol"/>
        <family val="1"/>
      </rPr>
      <t>g</t>
    </r>
    <r>
      <rPr>
        <sz val="10"/>
        <rFont val="VNI-Times"/>
        <family val="0"/>
      </rPr>
      <t xml:space="preserve"> </t>
    </r>
    <r>
      <rPr>
        <vertAlign val="subscript"/>
        <sz val="10"/>
        <rFont val="VNI-Times"/>
        <family val="0"/>
      </rPr>
      <t>tb</t>
    </r>
    <r>
      <rPr>
        <sz val="10"/>
        <rFont val="VNI-Times"/>
        <family val="0"/>
      </rPr>
      <t xml:space="preserve"> D</t>
    </r>
    <r>
      <rPr>
        <vertAlign val="subscript"/>
        <sz val="10"/>
        <rFont val="VNI-Times"/>
        <family val="0"/>
      </rPr>
      <t>f</t>
    </r>
    <r>
      <rPr>
        <sz val="10"/>
        <rFont val="VNI-Times"/>
        <family val="0"/>
      </rPr>
      <t>)=</t>
    </r>
  </si>
  <si>
    <r>
      <t xml:space="preserve">Vuøng hoaït ñoäng neùn luùn cuûa ñaát neàn laáy ñeán ñoä saâu  </t>
    </r>
    <r>
      <rPr>
        <b/>
        <sz val="10"/>
        <rFont val="VNI-Times"/>
        <family val="0"/>
      </rPr>
      <t>z = 4.75m</t>
    </r>
    <r>
      <rPr>
        <sz val="10"/>
        <rFont val="VNI-Times"/>
        <family val="0"/>
      </rPr>
      <t xml:space="preserve"> so vôùi ñeá moùng .</t>
    </r>
  </si>
  <si>
    <t xml:space="preserve">     Xem ñaøi coïc laø baûn consol ngaøm taïi meùp coät coøn ñaàu töï do taïi meùp moùng.</t>
  </si>
  <si>
    <t>M1</t>
  </si>
  <si>
    <r>
      <t>Heä soá m</t>
    </r>
    <r>
      <rPr>
        <i/>
        <vertAlign val="subscript"/>
        <sz val="10"/>
        <rFont val="VNI-Times"/>
        <family val="0"/>
      </rPr>
      <t>R</t>
    </r>
    <r>
      <rPr>
        <i/>
        <sz val="10"/>
        <rFont val="VNI-Times"/>
        <family val="0"/>
      </rPr>
      <t>, m</t>
    </r>
    <r>
      <rPr>
        <i/>
        <vertAlign val="subscript"/>
        <sz val="10"/>
        <rFont val="VNI-Times"/>
        <family val="0"/>
      </rPr>
      <t>f</t>
    </r>
    <r>
      <rPr>
        <i/>
        <sz val="10"/>
        <rFont val="VNI-Times"/>
        <family val="0"/>
      </rPr>
      <t xml:space="preserve"> ôû ñieåm 4 baûng A3 ñoái vôùi ñaát seùt coù ñoä seät 0.5&gt;I</t>
    </r>
    <r>
      <rPr>
        <i/>
        <vertAlign val="subscript"/>
        <sz val="10"/>
        <rFont val="VNI-Times"/>
        <family val="0"/>
      </rPr>
      <t>L</t>
    </r>
    <r>
      <rPr>
        <i/>
        <sz val="10"/>
        <rFont val="VNI-Times"/>
        <family val="0"/>
      </rPr>
      <t xml:space="preserve"> &gt;0 xaùc ñònh baèng caùch noäi suy.</t>
    </r>
  </si>
  <si>
    <r>
      <t xml:space="preserve">BAÛNG A5 - Heä soá  </t>
    </r>
    <r>
      <rPr>
        <b/>
        <sz val="10"/>
        <color indexed="10"/>
        <rFont val="VNI-Times"/>
        <family val="0"/>
      </rPr>
      <t>m</t>
    </r>
    <r>
      <rPr>
        <b/>
        <vertAlign val="subscript"/>
        <sz val="10"/>
        <color indexed="10"/>
        <rFont val="VNI-Times"/>
        <family val="0"/>
      </rPr>
      <t>f</t>
    </r>
    <r>
      <rPr>
        <b/>
        <sz val="10"/>
        <color indexed="10"/>
        <rFont val="VNI-Times"/>
        <family val="0"/>
      </rPr>
      <t xml:space="preserve"> .</t>
    </r>
  </si>
  <si>
    <t>BAÛNG A6 - Heä soá  trong coâng thöùc A.8; A.9</t>
  </si>
  <si>
    <t>Caùc heä soá</t>
  </si>
  <si>
    <r>
      <t xml:space="preserve">Goùc ma saùt trong tính toaùn cuûa ñaát </t>
    </r>
    <r>
      <rPr>
        <sz val="10"/>
        <color indexed="12"/>
        <rFont val="Symbol"/>
        <family val="1"/>
      </rPr>
      <t>j</t>
    </r>
    <r>
      <rPr>
        <vertAlign val="subscript"/>
        <sz val="10"/>
        <color indexed="12"/>
        <rFont val="VNI-Times"/>
        <family val="0"/>
      </rPr>
      <t>I</t>
    </r>
    <r>
      <rPr>
        <sz val="10"/>
        <color indexed="12"/>
        <rFont val="VNI-Times"/>
        <family val="0"/>
      </rPr>
      <t xml:space="preserve"> (</t>
    </r>
    <r>
      <rPr>
        <vertAlign val="superscript"/>
        <sz val="10"/>
        <color indexed="12"/>
        <rFont val="VNI-Times"/>
        <family val="0"/>
      </rPr>
      <t>o</t>
    </r>
    <r>
      <rPr>
        <sz val="10"/>
        <color indexed="12"/>
        <rFont val="VNI-Times"/>
        <family val="0"/>
      </rPr>
      <t>)</t>
    </r>
  </si>
  <si>
    <r>
      <t>A</t>
    </r>
    <r>
      <rPr>
        <vertAlign val="superscript"/>
        <sz val="10"/>
        <rFont val="VNI-Times"/>
        <family val="0"/>
      </rPr>
      <t>o</t>
    </r>
    <r>
      <rPr>
        <sz val="10"/>
        <rFont val="VNI-Times"/>
        <family val="0"/>
      </rPr>
      <t>k</t>
    </r>
  </si>
  <si>
    <r>
      <t>B</t>
    </r>
    <r>
      <rPr>
        <vertAlign val="superscript"/>
        <sz val="10"/>
        <rFont val="VNI-Times"/>
        <family val="0"/>
      </rPr>
      <t>o</t>
    </r>
    <r>
      <rPr>
        <sz val="10"/>
        <rFont val="VNI-Times"/>
        <family val="0"/>
      </rPr>
      <t>k</t>
    </r>
  </si>
  <si>
    <t>a</t>
  </si>
  <si>
    <t>Khi L/dp=</t>
  </si>
  <si>
    <t>&gt;=25</t>
  </si>
  <si>
    <t>b</t>
  </si>
  <si>
    <t>Khi dp=</t>
  </si>
  <si>
    <t>&lt;=0.8m</t>
  </si>
  <si>
    <t>&lt;4m</t>
  </si>
  <si>
    <t xml:space="preserve"> + Caïnh daøi : </t>
  </si>
  <si>
    <t xml:space="preserve"> + Caïnh ngaén: </t>
  </si>
  <si>
    <t>Kích thöôùc coå coät:</t>
  </si>
  <si>
    <r>
      <t>Chia chieàu daøy lôùp ñaát thaønh caùc lôùp coù chieàu daøy h</t>
    </r>
    <r>
      <rPr>
        <vertAlign val="subscript"/>
        <sz val="10"/>
        <rFont val="VNI-Times"/>
        <family val="0"/>
      </rPr>
      <t xml:space="preserve">i </t>
    </r>
    <r>
      <rPr>
        <sz val="10"/>
        <rFont val="VNI-Times"/>
        <family val="0"/>
      </rPr>
      <t xml:space="preserve">= Bmq/5 = </t>
    </r>
  </si>
  <si>
    <r>
      <t xml:space="preserve">Vuøng hoaït ñoäng neùn luùn cuûa ñaát neàn laáy ñeán ñoä saâu  </t>
    </r>
    <r>
      <rPr>
        <b/>
        <sz val="10"/>
        <rFont val="VNI-Times"/>
        <family val="0"/>
      </rPr>
      <t>z = 4.45m</t>
    </r>
    <r>
      <rPr>
        <sz val="10"/>
        <rFont val="VNI-Times"/>
        <family val="0"/>
      </rPr>
      <t xml:space="preserve"> so vôùi ñeá moùng .</t>
    </r>
  </si>
  <si>
    <t>Coïc bieân</t>
  </si>
  <si>
    <t>a (mm)</t>
  </si>
  <si>
    <t>Ñöôøng kính coïc d =</t>
  </si>
  <si>
    <t>(Soá haøng coïc theo phöông x)</t>
  </si>
  <si>
    <t>(Soá haøng coïc theo phöông y)</t>
  </si>
  <si>
    <t xml:space="preserve">    -  B =</t>
  </si>
  <si>
    <t xml:space="preserve">    -  L =</t>
  </si>
  <si>
    <t>(m - Caïnh daøi cuûa ñaøi moùng)</t>
  </si>
  <si>
    <t>(m - Caïnh ngaén cuûa ñaøi moùng)</t>
  </si>
  <si>
    <r>
      <t>II.- XAÙC ÑÒNH SOÁ LÖÔÏNG COÏC n</t>
    </r>
    <r>
      <rPr>
        <b/>
        <vertAlign val="subscript"/>
        <sz val="10"/>
        <rFont val="VNI-Times"/>
        <family val="0"/>
      </rPr>
      <t xml:space="preserve">c </t>
    </r>
    <r>
      <rPr>
        <b/>
        <sz val="10"/>
        <rFont val="VNI-Times"/>
        <family val="0"/>
      </rPr>
      <t>&amp; BOÁ TRÍ HEÄ COÏC TRONG ÑAØI.</t>
    </r>
  </si>
  <si>
    <r>
      <t xml:space="preserve">    -  Dieän tích thöïc cuûa ñaøi sau khi boá trí heä coïc (m</t>
    </r>
    <r>
      <rPr>
        <vertAlign val="superscript"/>
        <sz val="10"/>
        <rFont val="VNI-Times"/>
        <family val="0"/>
      </rPr>
      <t>2</t>
    </r>
    <r>
      <rPr>
        <sz val="10"/>
        <rFont val="VNI-Times"/>
        <family val="0"/>
      </rPr>
      <t>):</t>
    </r>
  </si>
  <si>
    <r>
      <t>x</t>
    </r>
    <r>
      <rPr>
        <vertAlign val="superscript"/>
        <sz val="10"/>
        <rFont val="VNI-Times"/>
        <family val="0"/>
      </rPr>
      <t>max</t>
    </r>
    <r>
      <rPr>
        <vertAlign val="subscript"/>
        <sz val="10"/>
        <rFont val="VNI-Times"/>
        <family val="0"/>
      </rPr>
      <t>neùn</t>
    </r>
    <r>
      <rPr>
        <sz val="10"/>
        <rFont val="VNI-Times"/>
        <family val="0"/>
      </rPr>
      <t xml:space="preserve">  = </t>
    </r>
  </si>
  <si>
    <r>
      <t>y</t>
    </r>
    <r>
      <rPr>
        <vertAlign val="superscript"/>
        <sz val="10"/>
        <rFont val="VNI-Times"/>
        <family val="0"/>
      </rPr>
      <t>max</t>
    </r>
    <r>
      <rPr>
        <vertAlign val="subscript"/>
        <sz val="10"/>
        <rFont val="VNI-Times"/>
        <family val="0"/>
      </rPr>
      <t>neùn</t>
    </r>
    <r>
      <rPr>
        <sz val="10"/>
        <rFont val="VNI-Times"/>
        <family val="0"/>
      </rPr>
      <t xml:space="preserve">  = </t>
    </r>
  </si>
  <si>
    <r>
      <t xml:space="preserve">å </t>
    </r>
    <r>
      <rPr>
        <sz val="10"/>
        <rFont val="VNI-Times"/>
        <family val="0"/>
      </rPr>
      <t>x</t>
    </r>
    <r>
      <rPr>
        <vertAlign val="superscript"/>
        <sz val="10"/>
        <rFont val="VNI-Times"/>
        <family val="0"/>
      </rPr>
      <t>2</t>
    </r>
    <r>
      <rPr>
        <vertAlign val="subscript"/>
        <sz val="10"/>
        <rFont val="VNI-Times"/>
        <family val="0"/>
      </rPr>
      <t>i</t>
    </r>
    <r>
      <rPr>
        <sz val="10"/>
        <rFont val="Symbol"/>
        <family val="1"/>
      </rPr>
      <t>=</t>
    </r>
  </si>
  <si>
    <r>
      <t xml:space="preserve">å </t>
    </r>
    <r>
      <rPr>
        <sz val="10"/>
        <rFont val="VNI-Times"/>
        <family val="0"/>
      </rPr>
      <t>y</t>
    </r>
    <r>
      <rPr>
        <vertAlign val="superscript"/>
        <sz val="10"/>
        <rFont val="VNI-Times"/>
        <family val="0"/>
      </rPr>
      <t>2</t>
    </r>
    <r>
      <rPr>
        <vertAlign val="subscript"/>
        <sz val="10"/>
        <rFont val="VNI-Times"/>
        <family val="0"/>
      </rPr>
      <t>i</t>
    </r>
    <r>
      <rPr>
        <sz val="10"/>
        <rFont val="Symbol"/>
        <family val="1"/>
      </rPr>
      <t>=</t>
    </r>
  </si>
  <si>
    <t>Heä soá ñieàu kieän laøm vieäc mf cuûa ñaát trong</t>
  </si>
  <si>
    <t>Caùt</t>
  </si>
  <si>
    <t>AÙ caùt</t>
  </si>
  <si>
    <t>AÙ seùt</t>
  </si>
  <si>
    <t>Seùt</t>
  </si>
  <si>
    <t>Loaïi coïc vaøphöông phaùp thi coâng coïc</t>
  </si>
  <si>
    <t>1)Coïc cheá taïo baèng bieän phaùp ñoùng oáng theùp coù bòt kín muõi roài ruùt daàn oáng theùp khi ñoå BT</t>
  </si>
  <si>
    <t>2)Coïc nhoài rung eùp</t>
  </si>
  <si>
    <t>3)Coïc khoan nhoài trong ñoù keå caû môû roäng ñaùy, ñoå beâ toâng :</t>
  </si>
  <si>
    <t>THAM KHAÛO TIEÂU CHUAÅN XAÂY DÖÏNG VIEÄT NAM 205-1998</t>
  </si>
  <si>
    <t xml:space="preserve">  a)Khi khoâng coù nöôùc trong loã khoan(phöông phaùp khoâ) hoaëc khi duøng oáng choáng.</t>
  </si>
  <si>
    <t xml:space="preserve">  b)Döôùc nöôùc  hoaëc dung dòch seùt.</t>
  </si>
  <si>
    <t xml:space="preserve">  c)Hoãn hôïp beâ toâng cöùng ñoå vaøo coïc coù ñaàm( phöông phaùp khoâ)</t>
  </si>
  <si>
    <t>4)Coïc oáng haï baèng rung  coù laáy ñaát ra</t>
  </si>
  <si>
    <t>5)Coïc - truï</t>
  </si>
  <si>
    <t xml:space="preserve"> loãi rung.</t>
  </si>
  <si>
    <t xml:space="preserve">6)Coïc khoan nhoài coïc coù loã troøn roãng ôû giöõa, khoâng coù nöôùc trong loã khoan baèng caùch duøng </t>
  </si>
  <si>
    <t>7)Coïc khoan phun cheá taïo coù oáng choáng hoaëc bôm hoãn hôïp beâ toâng vôùi aùp löïc 2-4 atm</t>
  </si>
  <si>
    <t>TÍNH TOAÙN ÑOÄ LUÙN CHO MOÙNG COÏC BTCT.</t>
  </si>
  <si>
    <t xml:space="preserve">    Moâ hình tính toaùn ñoä luùn laø nöûa khoâng gian bieán daïng tuyeán tính vôùi haïn cheá quy öôùc  neàn coù chieàu daøy </t>
  </si>
  <si>
    <t>töø ñeá moùng ñeán ñoä saâu taïi ñoù öùng suaát gaây luùn baèng 20% öùng suaát do troïng löôïng baûn thaân ñaát gaây ra.</t>
  </si>
  <si>
    <t>TÍNH TOAÙN MOÙNG COÏC KHOAN NHOÀI</t>
  </si>
  <si>
    <r>
      <t>å</t>
    </r>
    <r>
      <rPr>
        <sz val="10"/>
        <rFont val="VNI-Times"/>
        <family val="0"/>
      </rPr>
      <t>(h</t>
    </r>
    <r>
      <rPr>
        <vertAlign val="subscript"/>
        <sz val="10"/>
        <rFont val="VNI-Times"/>
        <family val="0"/>
      </rPr>
      <t>i</t>
    </r>
    <r>
      <rPr>
        <sz val="10"/>
        <rFont val="VNI-Times"/>
        <family val="0"/>
      </rPr>
      <t xml:space="preserve"> x</t>
    </r>
    <r>
      <rPr>
        <sz val="10"/>
        <rFont val="Symbol"/>
        <family val="1"/>
      </rPr>
      <t xml:space="preserve"> g</t>
    </r>
    <r>
      <rPr>
        <sz val="10"/>
        <rFont val="VNI-Times"/>
        <family val="0"/>
      </rPr>
      <t xml:space="preserve"> </t>
    </r>
    <r>
      <rPr>
        <vertAlign val="subscript"/>
        <sz val="10"/>
        <rFont val="VNI-Times"/>
        <family val="0"/>
      </rPr>
      <t>i</t>
    </r>
    <r>
      <rPr>
        <sz val="10"/>
        <rFont val="VNI-Times"/>
        <family val="0"/>
      </rPr>
      <t xml:space="preserve">) = </t>
    </r>
  </si>
  <si>
    <r>
      <t>BAÛNG A3 - Caùc heä soá  m</t>
    </r>
    <r>
      <rPr>
        <b/>
        <vertAlign val="subscript"/>
        <sz val="10"/>
        <color indexed="10"/>
        <rFont val="VNI-Times"/>
        <family val="0"/>
      </rPr>
      <t>R</t>
    </r>
    <r>
      <rPr>
        <b/>
        <sz val="10"/>
        <color indexed="10"/>
        <rFont val="VNI-Times"/>
        <family val="0"/>
      </rPr>
      <t>,m</t>
    </r>
    <r>
      <rPr>
        <b/>
        <vertAlign val="subscript"/>
        <sz val="10"/>
        <color indexed="10"/>
        <rFont val="VNI-Times"/>
        <family val="0"/>
      </rPr>
      <t>f</t>
    </r>
    <r>
      <rPr>
        <b/>
        <sz val="10"/>
        <color indexed="10"/>
        <rFont val="VNI-Times"/>
        <family val="0"/>
      </rPr>
      <t xml:space="preserve"> .</t>
    </r>
  </si>
  <si>
    <t>Phöông phaùp haï coïc</t>
  </si>
  <si>
    <t>1. Haï coïc ñaïc vaø coïc roãng coù bòt muõi coïc, baèng buùa hôi (treo), buùa maùy vaø buùa diezel</t>
  </si>
  <si>
    <t xml:space="preserve"> ñoäc laäp vôùi nhau khi tính toaùn söùc chòu taûi cuûa coïc.</t>
  </si>
  <si>
    <t>Heä soá ñieàu kieän laøm vieäc cuûa ñaát ñöôïc keå ñeán 1 caùch</t>
  </si>
  <si>
    <t xml:space="preserve"> hoá khoan,khi ñkính loã khoan moài:</t>
  </si>
  <si>
    <t xml:space="preserve">  a) Baèng caïnh coïc vuoâng </t>
  </si>
  <si>
    <t xml:space="preserve">  b) Nhoû hôn caïnh caïnh coïc vuoâng 5cm. </t>
  </si>
  <si>
    <t xml:space="preserve">  b) Nhoû hôn caïnh caïnh coïc vuoâng hay ñkính coïc troøn (ñoái vôùi truï ñöôøng daây taûi ñieän) 15cm. </t>
  </si>
  <si>
    <r>
      <t>Döôùi muõi coïc m</t>
    </r>
    <r>
      <rPr>
        <vertAlign val="subscript"/>
        <sz val="10"/>
        <color indexed="12"/>
        <rFont val="VNI-Times"/>
        <family val="0"/>
      </rPr>
      <t>R</t>
    </r>
    <r>
      <rPr>
        <sz val="10"/>
        <color indexed="12"/>
        <rFont val="VNI-Times"/>
        <family val="0"/>
      </rPr>
      <t xml:space="preserve"> </t>
    </r>
  </si>
  <si>
    <r>
      <t>ÔÛ maët beân coïc m</t>
    </r>
    <r>
      <rPr>
        <vertAlign val="subscript"/>
        <sz val="10"/>
        <color indexed="12"/>
        <rFont val="VNI-Times"/>
        <family val="0"/>
      </rPr>
      <t>f</t>
    </r>
  </si>
  <si>
    <t>(T)</t>
  </si>
  <si>
    <t>(m)</t>
  </si>
  <si>
    <t>Trong ñoù :</t>
  </si>
  <si>
    <t>(Vì caùc ñaëc tröng laáy töø phoøng thí nghieäm)</t>
  </si>
  <si>
    <r>
      <t xml:space="preserve">A, B, D : caùc heä soá phuï thuoäc </t>
    </r>
    <r>
      <rPr>
        <sz val="10"/>
        <rFont val="Symbol"/>
        <family val="1"/>
      </rPr>
      <t>j</t>
    </r>
    <r>
      <rPr>
        <vertAlign val="superscript"/>
        <sz val="10"/>
        <rFont val="VNI-Times"/>
        <family val="0"/>
      </rPr>
      <t>tc</t>
    </r>
  </si>
  <si>
    <r>
      <t>(T/m</t>
    </r>
    <r>
      <rPr>
        <vertAlign val="superscript"/>
        <sz val="10"/>
        <rFont val="VNI-Times"/>
        <family val="0"/>
      </rPr>
      <t>3</t>
    </r>
    <r>
      <rPr>
        <sz val="10"/>
        <rFont val="VNI-Times"/>
        <family val="0"/>
      </rPr>
      <t>)</t>
    </r>
  </si>
  <si>
    <r>
      <t>(T/m</t>
    </r>
    <r>
      <rPr>
        <vertAlign val="superscript"/>
        <sz val="10"/>
        <rFont val="VNI-Times"/>
        <family val="0"/>
      </rPr>
      <t>2</t>
    </r>
    <r>
      <rPr>
        <sz val="10"/>
        <rFont val="VNI-Times"/>
        <family val="0"/>
      </rPr>
      <t>)</t>
    </r>
  </si>
  <si>
    <t>Vaäy</t>
  </si>
  <si>
    <r>
      <t>(m</t>
    </r>
    <r>
      <rPr>
        <vertAlign val="superscript"/>
        <sz val="10"/>
        <rFont val="VNI-Times"/>
        <family val="0"/>
      </rPr>
      <t>2</t>
    </r>
    <r>
      <rPr>
        <sz val="10"/>
        <rFont val="VNI-Times"/>
        <family val="0"/>
      </rPr>
      <t>)</t>
    </r>
  </si>
  <si>
    <t xml:space="preserve"> </t>
  </si>
  <si>
    <t xml:space="preserve">    Coâng thöùc tính ñoä luùn</t>
  </si>
  <si>
    <t xml:space="preserve">    Öùng suaát gaây luùn taïi troïng taâm ñeá moùng :</t>
  </si>
  <si>
    <r>
      <t>(T/m</t>
    </r>
    <r>
      <rPr>
        <vertAlign val="superscript"/>
        <sz val="10"/>
        <rFont val="VNI-Times"/>
        <family val="0"/>
      </rPr>
      <t>2</t>
    </r>
    <r>
      <rPr>
        <sz val="10"/>
        <rFont val="VNI-Times"/>
        <family val="0"/>
      </rPr>
      <t xml:space="preserve">)    </t>
    </r>
  </si>
  <si>
    <t>BAÛNG TÍNH ÖÙNG SUAÁT DO TROÏNG LÖÔÏNG BAÛN THAÂN VAØ TAÛI TROÏNG NGOAØI</t>
  </si>
  <si>
    <t>ÑIEÅM</t>
  </si>
  <si>
    <t>Ko</t>
  </si>
  <si>
    <r>
      <t>s</t>
    </r>
    <r>
      <rPr>
        <b/>
        <vertAlign val="subscript"/>
        <sz val="10"/>
        <rFont val="Symbol"/>
        <family val="1"/>
      </rPr>
      <t xml:space="preserve"> </t>
    </r>
    <r>
      <rPr>
        <b/>
        <vertAlign val="subscript"/>
        <sz val="10"/>
        <rFont val="VNI-Times"/>
        <family val="0"/>
      </rPr>
      <t>i</t>
    </r>
    <r>
      <rPr>
        <b/>
        <sz val="10"/>
        <rFont val="VNI-Times"/>
        <family val="0"/>
      </rPr>
      <t xml:space="preserve"> </t>
    </r>
    <r>
      <rPr>
        <b/>
        <vertAlign val="superscript"/>
        <sz val="10"/>
        <rFont val="VNI-Times"/>
        <family val="0"/>
      </rPr>
      <t xml:space="preserve">gl </t>
    </r>
    <r>
      <rPr>
        <b/>
        <sz val="10"/>
        <rFont val="VNI-Times"/>
        <family val="0"/>
      </rPr>
      <t xml:space="preserve">= Ko x </t>
    </r>
    <r>
      <rPr>
        <b/>
        <sz val="10"/>
        <rFont val="Symbol"/>
        <family val="1"/>
      </rPr>
      <t>s</t>
    </r>
    <r>
      <rPr>
        <b/>
        <vertAlign val="subscript"/>
        <sz val="10"/>
        <rFont val="VNI-Times"/>
        <family val="0"/>
      </rPr>
      <t>z =0</t>
    </r>
    <r>
      <rPr>
        <b/>
        <sz val="10"/>
        <rFont val="VNI-Times"/>
        <family val="0"/>
      </rPr>
      <t xml:space="preserve"> </t>
    </r>
    <r>
      <rPr>
        <b/>
        <vertAlign val="superscript"/>
        <sz val="10"/>
        <rFont val="VNI-Times"/>
        <family val="0"/>
      </rPr>
      <t>gl</t>
    </r>
  </si>
  <si>
    <t>BAÛNG TÍNH ÑOÄ LUÙN</t>
  </si>
  <si>
    <t>LÔÙP ÑAÁT</t>
  </si>
  <si>
    <t>TOÅNG ÑOÄ LUÙN S (cm)</t>
  </si>
  <si>
    <t>Ghi chuù:</t>
  </si>
  <si>
    <t xml:space="preserve">           2. Caùc coâng thöùc tính :</t>
  </si>
  <si>
    <t>Trong ñoù:</t>
  </si>
  <si>
    <t>Vaäy :</t>
  </si>
  <si>
    <t>(cm)</t>
  </si>
  <si>
    <t>(rad)</t>
  </si>
  <si>
    <t>(KG/cm2)</t>
  </si>
  <si>
    <t>Rn(KG/cm2)</t>
  </si>
  <si>
    <r>
      <t>(</t>
    </r>
    <r>
      <rPr>
        <vertAlign val="superscript"/>
        <sz val="10"/>
        <rFont val="VNI-Times"/>
        <family val="0"/>
      </rPr>
      <t>o</t>
    </r>
    <r>
      <rPr>
        <sz val="10"/>
        <rFont val="VNI-Times"/>
        <family val="0"/>
      </rPr>
      <t>)</t>
    </r>
  </si>
  <si>
    <t>Maùc Beâtoâng</t>
  </si>
  <si>
    <t>Rk(KG/cm2)</t>
  </si>
  <si>
    <r>
      <t>A</t>
    </r>
    <r>
      <rPr>
        <b/>
        <vertAlign val="subscript"/>
        <sz val="10"/>
        <rFont val="VNI-Times"/>
        <family val="0"/>
      </rPr>
      <t>o</t>
    </r>
  </si>
  <si>
    <r>
      <t>a</t>
    </r>
    <r>
      <rPr>
        <b/>
        <vertAlign val="subscript"/>
        <sz val="10"/>
        <rFont val="VNI-Times"/>
        <family val="0"/>
      </rPr>
      <t>o</t>
    </r>
  </si>
  <si>
    <t>Eb(KG/cm2)</t>
  </si>
  <si>
    <t>Loaïi theùp</t>
  </si>
  <si>
    <t>Ra(KG/cm2)</t>
  </si>
  <si>
    <t>Rañ(KG/cm2)</t>
  </si>
  <si>
    <t>Ea(KG/cm2)</t>
  </si>
  <si>
    <t>AI</t>
  </si>
  <si>
    <t>AII</t>
  </si>
  <si>
    <t>AIII</t>
  </si>
  <si>
    <t>CI</t>
  </si>
  <si>
    <t>CII</t>
  </si>
  <si>
    <t>CIII</t>
  </si>
  <si>
    <t>CIV</t>
  </si>
  <si>
    <t>TÍNH TOAÙN MOÙNG COÏC</t>
  </si>
  <si>
    <t>I.- XAÙC ÑÒNH SÔ BOÄ KÍCH THÖÔÙC ÑAØI COÏC</t>
  </si>
  <si>
    <t xml:space="preserve">    -  Caïnh coïc d = </t>
  </si>
  <si>
    <t xml:space="preserve">    -  Khoaûng caùch caùc coïc boá trí trong ñaøi laø 3d = </t>
  </si>
  <si>
    <t xml:space="preserve">    -  Aùp löïc dính giaû ñònh do phaûn löïc  ñaàu coïc gaây ra:</t>
  </si>
  <si>
    <r>
      <t xml:space="preserve">    -   Söùc chòu taûi cuûa coïc ñöôïc choïn ñeå tính moùng Q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= </t>
    </r>
  </si>
  <si>
    <r>
      <t>P</t>
    </r>
    <r>
      <rPr>
        <vertAlign val="superscript"/>
        <sz val="10"/>
        <rFont val="VNI-Times"/>
        <family val="0"/>
      </rPr>
      <t>tt</t>
    </r>
    <r>
      <rPr>
        <sz val="10"/>
        <rFont val="VNI-Times"/>
        <family val="0"/>
      </rPr>
      <t xml:space="preserve"> = Q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 / ( 3d)</t>
    </r>
    <r>
      <rPr>
        <vertAlign val="superscript"/>
        <sz val="10"/>
        <rFont val="VNI-Times"/>
        <family val="0"/>
      </rPr>
      <t xml:space="preserve">2 </t>
    </r>
    <r>
      <rPr>
        <sz val="10"/>
        <rFont val="VNI-Times"/>
        <family val="0"/>
      </rPr>
      <t>=</t>
    </r>
  </si>
  <si>
    <t xml:space="preserve">    -  Dieän tích sô boä ñaøi coïc :</t>
  </si>
  <si>
    <r>
      <t xml:space="preserve">    -   Löïc doïc tính toaùn taïi coå moùng N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 </t>
    </r>
  </si>
  <si>
    <r>
      <t>F</t>
    </r>
    <r>
      <rPr>
        <vertAlign val="subscript"/>
        <sz val="10"/>
        <rFont val="VNI-Times"/>
        <family val="0"/>
      </rPr>
      <t>ñ</t>
    </r>
    <r>
      <rPr>
        <sz val="10"/>
        <rFont val="VNI-Times"/>
        <family val="0"/>
      </rPr>
      <t xml:space="preserve"> = </t>
    </r>
  </si>
  <si>
    <r>
      <t xml:space="preserve">    -  Ñoä saâu choân moùng D</t>
    </r>
    <r>
      <rPr>
        <vertAlign val="subscript"/>
        <sz val="10"/>
        <rFont val="VNI-Times"/>
        <family val="0"/>
      </rPr>
      <t>f</t>
    </r>
    <r>
      <rPr>
        <sz val="10"/>
        <rFont val="VNI-Times"/>
        <family val="0"/>
      </rPr>
      <t xml:space="preserve"> =</t>
    </r>
  </si>
  <si>
    <r>
      <t xml:space="preserve">    -  Dung troïng trung bình ñaát vaø beâ toâng moùng </t>
    </r>
    <r>
      <rPr>
        <sz val="10"/>
        <rFont val="Symbol"/>
        <family val="1"/>
      </rPr>
      <t xml:space="preserve"> g</t>
    </r>
    <r>
      <rPr>
        <vertAlign val="subscript"/>
        <sz val="10"/>
        <rFont val="VNI-Times"/>
        <family val="0"/>
      </rPr>
      <t>tb</t>
    </r>
    <r>
      <rPr>
        <sz val="10"/>
        <rFont val="VNI-Times"/>
        <family val="0"/>
      </rPr>
      <t xml:space="preserve"> =</t>
    </r>
  </si>
  <si>
    <t xml:space="preserve">    -  Troïng löôïng cuûa ñaøi vaø ñaát treân ñaøi :</t>
  </si>
  <si>
    <r>
      <t xml:space="preserve">    -   Löïc doïc tính toaùn taïi cao trình ñaùy ñaøi N</t>
    </r>
    <r>
      <rPr>
        <vertAlign val="superscript"/>
        <sz val="10"/>
        <rFont val="VNI-Times"/>
        <family val="0"/>
      </rPr>
      <t>tt</t>
    </r>
    <r>
      <rPr>
        <sz val="10"/>
        <rFont val="VNI-Times"/>
        <family val="0"/>
      </rPr>
      <t xml:space="preserve"> :</t>
    </r>
  </si>
  <si>
    <r>
      <t>N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 xml:space="preserve"> </t>
    </r>
    <r>
      <rPr>
        <sz val="10"/>
        <rFont val="VNI-Times"/>
        <family val="0"/>
      </rPr>
      <t>= N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+ N</t>
    </r>
    <r>
      <rPr>
        <vertAlign val="subscript"/>
        <sz val="10"/>
        <rFont val="VNI-Times"/>
        <family val="0"/>
      </rPr>
      <t>ñ</t>
    </r>
    <r>
      <rPr>
        <sz val="10"/>
        <rFont val="VNI-Times"/>
        <family val="0"/>
      </rPr>
      <t xml:space="preserve"> </t>
    </r>
    <r>
      <rPr>
        <vertAlign val="subscript"/>
        <sz val="10"/>
        <rFont val="VNI-Times"/>
        <family val="0"/>
      </rPr>
      <t xml:space="preserve"> </t>
    </r>
    <r>
      <rPr>
        <sz val="10"/>
        <rFont val="VNI-Times"/>
        <family val="0"/>
      </rPr>
      <t>=</t>
    </r>
  </si>
  <si>
    <r>
      <t>n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= 1.2*N</t>
    </r>
    <r>
      <rPr>
        <vertAlign val="superscript"/>
        <sz val="10"/>
        <rFont val="VNI-Times"/>
        <family val="0"/>
      </rPr>
      <t>tt</t>
    </r>
    <r>
      <rPr>
        <sz val="10"/>
        <rFont val="VNI-Times"/>
        <family val="0"/>
      </rPr>
      <t xml:space="preserve"> /Q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=</t>
    </r>
  </si>
  <si>
    <t>(coïc)</t>
  </si>
  <si>
    <t xml:space="preserve">    -  Soá coïc choïn:</t>
  </si>
  <si>
    <t xml:space="preserve">    -  Dieän tích thöïc cuûa ñaøi sau khi boá trí heä coïc :</t>
  </si>
  <si>
    <t>Yeâu caàu veà caùch boá trí coïc :</t>
  </si>
  <si>
    <t xml:space="preserve"> - Ñoái vôùi moùng nhaø khoaûng caùch töø meùp ñaøi ñeán truïc haøng coïc bieân : d</t>
  </si>
  <si>
    <t xml:space="preserve"> - Khoaûng caùch giöõa caùc truïc coïc lôùn hôn hoaëc toái thieåu baèng 3 laàn caïnh coïc d.</t>
  </si>
  <si>
    <r>
      <t>N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 xml:space="preserve"> </t>
    </r>
    <r>
      <rPr>
        <sz val="10"/>
        <rFont val="VNI-Times"/>
        <family val="0"/>
      </rPr>
      <t>= N</t>
    </r>
    <r>
      <rPr>
        <vertAlign val="superscript"/>
        <sz val="10"/>
        <rFont val="VNI-Times"/>
        <family val="0"/>
      </rPr>
      <t>tt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+ N</t>
    </r>
    <r>
      <rPr>
        <vertAlign val="subscript"/>
        <sz val="10"/>
        <rFont val="VNI-Times"/>
        <family val="0"/>
      </rPr>
      <t>ñt</t>
    </r>
    <r>
      <rPr>
        <sz val="10"/>
        <rFont val="VNI-Times"/>
        <family val="0"/>
      </rPr>
      <t xml:space="preserve"> </t>
    </r>
    <r>
      <rPr>
        <vertAlign val="subscript"/>
        <sz val="10"/>
        <rFont val="VNI-Times"/>
        <family val="0"/>
      </rPr>
      <t xml:space="preserve"> </t>
    </r>
    <r>
      <rPr>
        <sz val="10"/>
        <rFont val="VNI-Times"/>
        <family val="0"/>
      </rPr>
      <t>=</t>
    </r>
  </si>
  <si>
    <r>
      <t xml:space="preserve">    -   Momen  tính toaùn taïi taâm ñaùy ñaøi M</t>
    </r>
    <r>
      <rPr>
        <vertAlign val="superscript"/>
        <sz val="10"/>
        <rFont val="VNI-Times"/>
        <family val="0"/>
      </rPr>
      <t>tt</t>
    </r>
    <r>
      <rPr>
        <sz val="10"/>
        <rFont val="VNI-Times"/>
        <family val="0"/>
      </rPr>
      <t xml:space="preserve"> :</t>
    </r>
  </si>
  <si>
    <t xml:space="preserve">III.- KIEÅM TRA TAÛI TROÏNG TAÙC DUÏNG LEÂN COÏC </t>
  </si>
  <si>
    <t>Löïc truyeàn xuoáng 1 coïc haøng bieân:</t>
  </si>
  <si>
    <r>
      <t>Q</t>
    </r>
    <r>
      <rPr>
        <b/>
        <vertAlign val="superscript"/>
        <sz val="10"/>
        <rFont val="VNI-Times"/>
        <family val="0"/>
      </rPr>
      <t>tt</t>
    </r>
    <r>
      <rPr>
        <b/>
        <vertAlign val="subscript"/>
        <sz val="10"/>
        <rFont val="VNI-Times"/>
        <family val="0"/>
      </rPr>
      <t>max</t>
    </r>
    <r>
      <rPr>
        <b/>
        <sz val="10"/>
        <rFont val="VNI-Times"/>
        <family val="0"/>
      </rPr>
      <t xml:space="preserve">= </t>
    </r>
  </si>
  <si>
    <r>
      <t>Q</t>
    </r>
    <r>
      <rPr>
        <b/>
        <vertAlign val="superscript"/>
        <sz val="10"/>
        <rFont val="VNI-Times"/>
        <family val="0"/>
      </rPr>
      <t>tt</t>
    </r>
    <r>
      <rPr>
        <b/>
        <vertAlign val="subscript"/>
        <sz val="10"/>
        <rFont val="VNI-Times"/>
        <family val="0"/>
      </rPr>
      <t xml:space="preserve">min </t>
    </r>
    <r>
      <rPr>
        <b/>
        <sz val="10"/>
        <rFont val="VNI-Times"/>
        <family val="0"/>
      </rPr>
      <t xml:space="preserve">= </t>
    </r>
  </si>
  <si>
    <t>III.- KIEÅM TRA OÅN ÑÒNH NEÀN DÖÔÙI MOÙNG KHOÁI QUY ÖÔÙC.</t>
  </si>
  <si>
    <t>Baûng tính goùc ma saùt trong trung bình.</t>
  </si>
  <si>
    <t>Lôùp ñaát</t>
  </si>
  <si>
    <t>j (o)</t>
  </si>
  <si>
    <t>Toång</t>
  </si>
  <si>
    <t>Goùc truyeàn löïc :</t>
  </si>
  <si>
    <r>
      <t>a = j</t>
    </r>
    <r>
      <rPr>
        <vertAlign val="subscript"/>
        <sz val="10"/>
        <rFont val="VNI-Times"/>
        <family val="0"/>
      </rPr>
      <t>tb</t>
    </r>
    <r>
      <rPr>
        <sz val="10"/>
        <rFont val="Symbol"/>
        <family val="1"/>
      </rPr>
      <t xml:space="preserve"> /4 =</t>
    </r>
  </si>
  <si>
    <t xml:space="preserve">Ghi chuù: </t>
  </si>
  <si>
    <r>
      <t xml:space="preserve">    h</t>
    </r>
    <r>
      <rPr>
        <i/>
        <vertAlign val="subscript"/>
        <sz val="10"/>
        <rFont val="VNI-Times"/>
        <family val="0"/>
      </rPr>
      <t>i</t>
    </r>
    <r>
      <rPr>
        <i/>
        <sz val="10"/>
        <rFont val="VNI-Times"/>
        <family val="0"/>
      </rPr>
      <t xml:space="preserve"> : chieàu daøy cuûa lôùp ñaát thöù i tính töø ñaùy ñaøi moùng.</t>
    </r>
  </si>
  <si>
    <t>Chieàu daøi ñaùy moùng khoái quy öôùc</t>
  </si>
  <si>
    <r>
      <t xml:space="preserve">  L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 = (L - d) + 2L</t>
    </r>
    <r>
      <rPr>
        <vertAlign val="subscript"/>
        <sz val="10"/>
        <rFont val="VNI-Times"/>
        <family val="0"/>
      </rPr>
      <t>p</t>
    </r>
    <r>
      <rPr>
        <sz val="10"/>
        <rFont val="VNI-Times"/>
        <family val="0"/>
      </rPr>
      <t xml:space="preserve"> tg</t>
    </r>
    <r>
      <rPr>
        <sz val="10"/>
        <rFont val="Symbol"/>
        <family val="1"/>
      </rPr>
      <t>a</t>
    </r>
    <r>
      <rPr>
        <sz val="10"/>
        <rFont val="VNI-Times"/>
        <family val="0"/>
      </rPr>
      <t xml:space="preserve"> =</t>
    </r>
  </si>
  <si>
    <r>
      <t xml:space="preserve">    -  Toång chieàu daøi coïc L</t>
    </r>
    <r>
      <rPr>
        <vertAlign val="subscript"/>
        <sz val="10"/>
        <rFont val="VNI-Times"/>
        <family val="0"/>
      </rPr>
      <t>p</t>
    </r>
    <r>
      <rPr>
        <sz val="10"/>
        <rFont val="VNI-Times"/>
        <family val="0"/>
      </rPr>
      <t xml:space="preserve"> = </t>
    </r>
  </si>
  <si>
    <t>( Caïnh daøi moùng L:</t>
  </si>
  <si>
    <t>(m) )</t>
  </si>
  <si>
    <t>Chieàu roäng ñaùy moùng khoái quy öôùc</t>
  </si>
  <si>
    <r>
      <t xml:space="preserve"> B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 = (B - d) + 2L</t>
    </r>
    <r>
      <rPr>
        <vertAlign val="subscript"/>
        <sz val="10"/>
        <rFont val="VNI-Times"/>
        <family val="0"/>
      </rPr>
      <t>p</t>
    </r>
    <r>
      <rPr>
        <sz val="10"/>
        <rFont val="VNI-Times"/>
        <family val="0"/>
      </rPr>
      <t xml:space="preserve"> tg</t>
    </r>
    <r>
      <rPr>
        <sz val="10"/>
        <rFont val="Symbol"/>
        <family val="1"/>
      </rPr>
      <t>a</t>
    </r>
    <r>
      <rPr>
        <sz val="10"/>
        <rFont val="VNI-Times"/>
        <family val="0"/>
      </rPr>
      <t xml:space="preserve"> =</t>
    </r>
  </si>
  <si>
    <t>( Caïnh ngaén moùng B:</t>
  </si>
  <si>
    <t>Dieän tích ñaùy moùng khoái quy öôùc :</t>
  </si>
  <si>
    <r>
      <t>F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 =</t>
    </r>
  </si>
  <si>
    <r>
      <t xml:space="preserve"> h</t>
    </r>
    <r>
      <rPr>
        <b/>
        <vertAlign val="subscript"/>
        <sz val="10"/>
        <rFont val="VNI-Times"/>
        <family val="0"/>
      </rPr>
      <t xml:space="preserve">i </t>
    </r>
    <r>
      <rPr>
        <b/>
        <sz val="10"/>
        <rFont val="VNI-Times"/>
        <family val="0"/>
      </rPr>
      <t>(m)</t>
    </r>
  </si>
  <si>
    <r>
      <t>h</t>
    </r>
    <r>
      <rPr>
        <b/>
        <vertAlign val="subscript"/>
        <sz val="10"/>
        <rFont val="VNI-Times"/>
        <family val="0"/>
      </rPr>
      <t>i</t>
    </r>
    <r>
      <rPr>
        <b/>
        <sz val="10"/>
        <rFont val="VNI-Times"/>
        <family val="0"/>
      </rPr>
      <t xml:space="preserve"> * </t>
    </r>
    <r>
      <rPr>
        <b/>
        <sz val="10"/>
        <rFont val="Symbol"/>
        <family val="1"/>
      </rPr>
      <t>j</t>
    </r>
  </si>
  <si>
    <r>
      <t>j</t>
    </r>
    <r>
      <rPr>
        <b/>
        <vertAlign val="subscript"/>
        <sz val="10"/>
        <rFont val="VNI-Times"/>
        <family val="0"/>
      </rPr>
      <t>tb</t>
    </r>
    <r>
      <rPr>
        <b/>
        <sz val="10"/>
        <rFont val="Symbol"/>
        <family val="1"/>
      </rPr>
      <t xml:space="preserve"> (o)</t>
    </r>
  </si>
  <si>
    <t>Xaùc ñònh troïng löôïng moùng khoái quy öôùc:</t>
  </si>
  <si>
    <t>T.löôïng lôùp i ( T)</t>
  </si>
  <si>
    <r>
      <t>g</t>
    </r>
    <r>
      <rPr>
        <b/>
        <sz val="10"/>
        <rFont val="VNI-Times"/>
        <family val="0"/>
      </rPr>
      <t xml:space="preserve"> (T/m</t>
    </r>
    <r>
      <rPr>
        <b/>
        <vertAlign val="superscript"/>
        <sz val="10"/>
        <rFont val="VNI-Times"/>
        <family val="0"/>
      </rPr>
      <t>3</t>
    </r>
    <r>
      <rPr>
        <b/>
        <sz val="10"/>
        <rFont val="VNI-Times"/>
        <family val="0"/>
      </rPr>
      <t>)</t>
    </r>
  </si>
  <si>
    <t xml:space="preserve">  lôùp ñaát thöù 1 tính töø ñaùy ñaøi moùng trôû leân vaø dung troïng laø dung troïng trung bình giöõa ñaát vaø beâ toâng </t>
  </si>
  <si>
    <r>
      <t xml:space="preserve"> laø 2 T/m</t>
    </r>
    <r>
      <rPr>
        <i/>
        <vertAlign val="superscript"/>
        <sz val="10"/>
        <rFont val="VNI-Times"/>
        <family val="0"/>
      </rPr>
      <t>3</t>
    </r>
    <r>
      <rPr>
        <i/>
        <sz val="10"/>
        <rFont val="VNI-Times"/>
        <family val="0"/>
      </rPr>
      <t>.</t>
    </r>
  </si>
  <si>
    <t xml:space="preserve">Troïng löôïng baûn thaân heä coïc: </t>
  </si>
  <si>
    <r>
      <t>N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=</t>
    </r>
  </si>
  <si>
    <t>Troïng löôïng moùng khoái quy öôùc :</t>
  </si>
  <si>
    <r>
      <t>N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 =</t>
    </r>
  </si>
  <si>
    <r>
      <t>N</t>
    </r>
    <r>
      <rPr>
        <vertAlign val="superscript"/>
        <sz val="10"/>
        <rFont val="VNI-Times"/>
        <family val="0"/>
      </rPr>
      <t>tc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 =</t>
    </r>
  </si>
  <si>
    <t>Löïc doïc tieâu chuaån ôû taâm ñaùy moùng khoái quy öôùc:</t>
  </si>
  <si>
    <t>Momen tieâu chuaån ôû taâm ñaùy moùng khoái quy öôùc:</t>
  </si>
  <si>
    <r>
      <t>M</t>
    </r>
    <r>
      <rPr>
        <vertAlign val="superscript"/>
        <sz val="10"/>
        <rFont val="VNI-Times"/>
        <family val="0"/>
      </rPr>
      <t>tc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 = M</t>
    </r>
    <r>
      <rPr>
        <vertAlign val="superscript"/>
        <sz val="10"/>
        <rFont val="VNI-Times"/>
        <family val="0"/>
      </rPr>
      <t>tc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+ Q</t>
    </r>
    <r>
      <rPr>
        <vertAlign val="superscript"/>
        <sz val="10"/>
        <rFont val="VNI-Times"/>
        <family val="0"/>
      </rPr>
      <t>tc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(cao trình ñaùy MKQÖ -cao trình ñænh ñaøi)</t>
    </r>
  </si>
  <si>
    <r>
      <t>M</t>
    </r>
    <r>
      <rPr>
        <vertAlign val="superscript"/>
        <sz val="10"/>
        <rFont val="VNI-Times"/>
        <family val="0"/>
      </rPr>
      <t>tc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 = </t>
    </r>
  </si>
  <si>
    <t>(T.m)</t>
  </si>
  <si>
    <t>Ñoä leäch taâm tieâu chuaån</t>
  </si>
  <si>
    <t>e =</t>
  </si>
  <si>
    <t>AÙp löïc tieâu chuaån ôû ñaùy moùng khoái quy öôùc:</t>
  </si>
  <si>
    <r>
      <t>s</t>
    </r>
    <r>
      <rPr>
        <b/>
        <vertAlign val="subscript"/>
        <sz val="10"/>
        <rFont val="VNI-Times"/>
        <family val="0"/>
      </rPr>
      <t>max</t>
    </r>
    <r>
      <rPr>
        <b/>
        <sz val="10"/>
        <rFont val="VNI-Times"/>
        <family val="0"/>
      </rPr>
      <t xml:space="preserve"> =</t>
    </r>
  </si>
  <si>
    <r>
      <t>(T/m</t>
    </r>
    <r>
      <rPr>
        <b/>
        <vertAlign val="superscript"/>
        <sz val="10"/>
        <rFont val="VNI-Times"/>
        <family val="0"/>
      </rPr>
      <t>2</t>
    </r>
    <r>
      <rPr>
        <b/>
        <sz val="10"/>
        <rFont val="VNI-Times"/>
        <family val="0"/>
      </rPr>
      <t>)</t>
    </r>
  </si>
  <si>
    <r>
      <t>s</t>
    </r>
    <r>
      <rPr>
        <b/>
        <vertAlign val="subscript"/>
        <sz val="10"/>
        <rFont val="VNI-Times"/>
        <family val="0"/>
      </rPr>
      <t>tb</t>
    </r>
    <r>
      <rPr>
        <b/>
        <sz val="10"/>
        <rFont val="VNI-Times"/>
        <family val="0"/>
      </rPr>
      <t xml:space="preserve"> =</t>
    </r>
  </si>
  <si>
    <t>Cöôøng ñoä tieâu chuaån cuûa ñaát neàn döôùi moùng khoái quy öôùc :</t>
  </si>
  <si>
    <t>Beà roäng moùng khoái quy öôùc :</t>
  </si>
  <si>
    <r>
      <t>B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 xml:space="preserve">         = </t>
    </r>
  </si>
  <si>
    <t>Dung troïng ñaát ôû ñaùy moùng khoái quy öôùc</t>
  </si>
  <si>
    <r>
      <t>g</t>
    </r>
    <r>
      <rPr>
        <vertAlign val="subscript"/>
        <sz val="10"/>
        <rFont val="VNI-Times"/>
        <family val="0"/>
      </rPr>
      <t xml:space="preserve">mq </t>
    </r>
    <r>
      <rPr>
        <sz val="10"/>
        <rFont val="VNI-Times"/>
        <family val="0"/>
      </rPr>
      <t xml:space="preserve">           = </t>
    </r>
  </si>
  <si>
    <r>
      <t xml:space="preserve"> h</t>
    </r>
    <r>
      <rPr>
        <b/>
        <vertAlign val="subscript"/>
        <sz val="10"/>
        <rFont val="VNI-Times"/>
        <family val="0"/>
      </rPr>
      <t xml:space="preserve">i </t>
    </r>
    <r>
      <rPr>
        <b/>
        <sz val="10"/>
        <rFont val="Symbol"/>
        <family val="1"/>
      </rPr>
      <t>g</t>
    </r>
  </si>
  <si>
    <r>
      <t xml:space="preserve">c </t>
    </r>
    <r>
      <rPr>
        <vertAlign val="subscript"/>
        <sz val="10"/>
        <rFont val="VNI-Times"/>
        <family val="0"/>
      </rPr>
      <t xml:space="preserve">mq </t>
    </r>
    <r>
      <rPr>
        <sz val="10"/>
        <rFont val="VNI-Times"/>
        <family val="0"/>
      </rPr>
      <t xml:space="preserve">         = </t>
    </r>
  </si>
  <si>
    <r>
      <t>R</t>
    </r>
    <r>
      <rPr>
        <b/>
        <vertAlign val="superscript"/>
        <sz val="10"/>
        <rFont val="VNI-Times"/>
        <family val="0"/>
      </rPr>
      <t>tc</t>
    </r>
    <r>
      <rPr>
        <b/>
        <sz val="10"/>
        <rFont val="VNI-Times"/>
        <family val="0"/>
      </rPr>
      <t xml:space="preserve">       =</t>
    </r>
  </si>
  <si>
    <t xml:space="preserve">m1      = </t>
  </si>
  <si>
    <t xml:space="preserve">m2      = </t>
  </si>
  <si>
    <r>
      <t>k</t>
    </r>
    <r>
      <rPr>
        <vertAlign val="subscript"/>
        <sz val="10"/>
        <rFont val="VNI-Times"/>
        <family val="0"/>
      </rPr>
      <t xml:space="preserve">tc           </t>
    </r>
    <r>
      <rPr>
        <sz val="10"/>
        <rFont val="VNI-Times"/>
        <family val="0"/>
      </rPr>
      <t>=</t>
    </r>
  </si>
  <si>
    <t xml:space="preserve">A         = </t>
  </si>
  <si>
    <t xml:space="preserve">B         = </t>
  </si>
  <si>
    <t xml:space="preserve">D         = </t>
  </si>
  <si>
    <t>Keát luaän :</t>
  </si>
  <si>
    <r>
      <t>N</t>
    </r>
    <r>
      <rPr>
        <vertAlign val="subscript"/>
        <sz val="10"/>
        <rFont val="VNI-Times"/>
        <family val="0"/>
      </rPr>
      <t xml:space="preserve">ñt </t>
    </r>
    <r>
      <rPr>
        <sz val="10"/>
        <rFont val="VNI-Times"/>
        <family val="0"/>
      </rPr>
      <t>= 1.1F</t>
    </r>
    <r>
      <rPr>
        <vertAlign val="subscript"/>
        <sz val="10"/>
        <rFont val="VNI-Times"/>
        <family val="0"/>
      </rPr>
      <t>ñ</t>
    </r>
    <r>
      <rPr>
        <sz val="10"/>
        <rFont val="VNI-Times"/>
        <family val="0"/>
      </rPr>
      <t xml:space="preserve"> D</t>
    </r>
    <r>
      <rPr>
        <vertAlign val="subscript"/>
        <sz val="10"/>
        <rFont val="VNI-Times"/>
        <family val="0"/>
      </rPr>
      <t>f</t>
    </r>
    <r>
      <rPr>
        <sz val="10"/>
        <rFont val="VNI-Times"/>
        <family val="0"/>
      </rPr>
      <t xml:space="preserve"> </t>
    </r>
    <r>
      <rPr>
        <sz val="10"/>
        <rFont val="Symbol"/>
        <family val="1"/>
      </rPr>
      <t>g</t>
    </r>
    <r>
      <rPr>
        <vertAlign val="subscript"/>
        <sz val="10"/>
        <rFont val="VNI-Times"/>
        <family val="0"/>
      </rPr>
      <t xml:space="preserve">tb </t>
    </r>
    <r>
      <rPr>
        <sz val="10"/>
        <rFont val="VNI-Times"/>
        <family val="0"/>
      </rPr>
      <t>=</t>
    </r>
  </si>
  <si>
    <t>I. KHI VAÄN CHUYEÅN COÏC:</t>
  </si>
  <si>
    <t xml:space="preserve"> 0.207L (L: chieàu daøi ñoaïn coïc), nhaèm taïo momen goái vaø momen nhòp baèng nhau</t>
  </si>
  <si>
    <r>
      <t xml:space="preserve">  1. Sô ñoà tính </t>
    </r>
    <r>
      <rPr>
        <sz val="10"/>
        <rFont val="VNI-Times"/>
        <family val="0"/>
      </rPr>
      <t xml:space="preserve">:daàm ñôn giaûn, goái töïa taïi vò trí moùc caåu khi vaän chuyeån. Vò trí moùc caåu caùch moãi ñaàu coïc 1 ñoaïn </t>
    </r>
  </si>
  <si>
    <t>Caùc thoâng soá veà coïc:</t>
  </si>
  <si>
    <t>,        Rn =</t>
  </si>
  <si>
    <t>,        Ra =</t>
  </si>
  <si>
    <t>(T/m)</t>
  </si>
  <si>
    <t xml:space="preserve">  3. Momen M(T.m) :</t>
  </si>
  <si>
    <t xml:space="preserve"> M   =</t>
  </si>
  <si>
    <t xml:space="preserve">  4. Dieän tích coát theùp caàn thieát Fa(cm2) :</t>
  </si>
  <si>
    <t>(cm2)</t>
  </si>
  <si>
    <t xml:space="preserve">  5. Keát luaän :</t>
  </si>
  <si>
    <r>
      <t xml:space="preserve">  1. Sô ñoà tính </t>
    </r>
    <r>
      <rPr>
        <sz val="10"/>
        <rFont val="VNI-Times"/>
        <family val="0"/>
      </rPr>
      <t>:daàm ñôn giaûn, goái töïa taïi vò trí moùc caåu khi laép döïng vaø vò trí döïng coïc. Vò trí moùc caåu caùch  ñaàu</t>
    </r>
  </si>
  <si>
    <t xml:space="preserve"> coïc 1 ñoaïn 0.297L (L: chieàu daøi ñoaïn coïc), nhaèm taïo momen goái vaø momen nhòp baèng nhau</t>
  </si>
  <si>
    <t>II. KHI LAÉP DÖÏNG COÏC:</t>
  </si>
  <si>
    <r>
      <t>Fa   = M / 0.9*Ra*h</t>
    </r>
    <r>
      <rPr>
        <b/>
        <vertAlign val="subscript"/>
        <sz val="10"/>
        <rFont val="VNI-Times"/>
        <family val="0"/>
      </rPr>
      <t>o</t>
    </r>
    <r>
      <rPr>
        <b/>
        <sz val="10"/>
        <rFont val="VNI-Times"/>
        <family val="0"/>
      </rPr>
      <t xml:space="preserve"> =</t>
    </r>
  </si>
  <si>
    <t>TÍNH KEÁT CAÁU ÑAØI COÏC</t>
  </si>
  <si>
    <r>
      <t>I. CHOÏN ÑOÄ CAO ÑAØI COÏC h</t>
    </r>
    <r>
      <rPr>
        <b/>
        <vertAlign val="subscript"/>
        <sz val="10"/>
        <rFont val="VNI-Times"/>
        <family val="0"/>
      </rPr>
      <t>ñ</t>
    </r>
    <r>
      <rPr>
        <b/>
        <sz val="10"/>
        <rFont val="VNI-Times"/>
        <family val="0"/>
      </rPr>
      <t xml:space="preserve"> :</t>
    </r>
  </si>
  <si>
    <r>
      <t xml:space="preserve">      h</t>
    </r>
    <r>
      <rPr>
        <vertAlign val="subscript"/>
        <sz val="10"/>
        <rFont val="VNI-Times"/>
        <family val="0"/>
      </rPr>
      <t>ñ</t>
    </r>
    <r>
      <rPr>
        <sz val="10"/>
        <rFont val="VNI-Times"/>
        <family val="0"/>
      </rPr>
      <t xml:space="preserve"> = </t>
    </r>
  </si>
  <si>
    <t xml:space="preserve">  1. Sô ñoà tính :</t>
  </si>
  <si>
    <t xml:space="preserve">     Laø phaûn löïc ôû caùc  ñaàu coïc </t>
  </si>
  <si>
    <t xml:space="preserve">  2. Taûi taùc duïng:</t>
  </si>
  <si>
    <r>
      <t>III. TÍNH COÁT THEÙP  ÑAØI COÏC F</t>
    </r>
    <r>
      <rPr>
        <b/>
        <vertAlign val="subscript"/>
        <sz val="10"/>
        <rFont val="VNI-Times"/>
        <family val="0"/>
      </rPr>
      <t>a</t>
    </r>
    <r>
      <rPr>
        <b/>
        <sz val="10"/>
        <rFont val="VNI-Times"/>
        <family val="0"/>
      </rPr>
      <t xml:space="preserve"> :</t>
    </r>
  </si>
  <si>
    <t>Vò trí coïc</t>
  </si>
  <si>
    <t xml:space="preserve">Toång soá </t>
  </si>
  <si>
    <t>coïc  n</t>
  </si>
  <si>
    <t>Q</t>
  </si>
  <si>
    <t>II. BAÛNG TÍNH LÖÏC TAÙC DUÏNG LEÂN ÑAÀU COÏC Q :</t>
  </si>
  <si>
    <r>
      <t>(m</t>
    </r>
    <r>
      <rPr>
        <vertAlign val="superscript"/>
        <sz val="10"/>
        <color indexed="12"/>
        <rFont val="VNI-Times"/>
        <family val="0"/>
      </rPr>
      <t>2</t>
    </r>
    <r>
      <rPr>
        <sz val="10"/>
        <color indexed="12"/>
        <rFont val="VNI-Times"/>
        <family val="0"/>
      </rPr>
      <t>)</t>
    </r>
  </si>
  <si>
    <r>
      <t>x</t>
    </r>
    <r>
      <rPr>
        <vertAlign val="subscript"/>
        <sz val="10"/>
        <color indexed="12"/>
        <rFont val="VNI-Times"/>
        <family val="0"/>
      </rPr>
      <t>d</t>
    </r>
    <r>
      <rPr>
        <sz val="10"/>
        <color indexed="12"/>
        <rFont val="VNI-Times"/>
        <family val="0"/>
      </rPr>
      <t>(m)</t>
    </r>
  </si>
  <si>
    <r>
      <t>y</t>
    </r>
    <r>
      <rPr>
        <vertAlign val="subscript"/>
        <sz val="10"/>
        <color indexed="12"/>
        <rFont val="VNI-Times"/>
        <family val="0"/>
      </rPr>
      <t>n</t>
    </r>
    <r>
      <rPr>
        <sz val="10"/>
        <color indexed="12"/>
        <rFont val="VNI-Times"/>
        <family val="0"/>
      </rPr>
      <t>(m)</t>
    </r>
  </si>
  <si>
    <r>
      <t>M</t>
    </r>
    <r>
      <rPr>
        <vertAlign val="superscript"/>
        <sz val="10"/>
        <color indexed="12"/>
        <rFont val="VNI-Times"/>
        <family val="0"/>
      </rPr>
      <t>tt</t>
    </r>
    <r>
      <rPr>
        <sz val="10"/>
        <color indexed="12"/>
        <rFont val="VNI-Times"/>
        <family val="0"/>
      </rPr>
      <t>x</t>
    </r>
  </si>
  <si>
    <r>
      <t>N</t>
    </r>
    <r>
      <rPr>
        <vertAlign val="superscript"/>
        <sz val="10"/>
        <color indexed="12"/>
        <rFont val="VNI-Times"/>
        <family val="0"/>
      </rPr>
      <t>tt</t>
    </r>
  </si>
  <si>
    <r>
      <t>M</t>
    </r>
    <r>
      <rPr>
        <vertAlign val="superscript"/>
        <sz val="10"/>
        <color indexed="12"/>
        <rFont val="VNI-Times"/>
        <family val="0"/>
      </rPr>
      <t>tt</t>
    </r>
    <r>
      <rPr>
        <sz val="10"/>
        <color indexed="12"/>
        <rFont val="VNI-Times"/>
        <family val="0"/>
      </rPr>
      <t>y</t>
    </r>
  </si>
  <si>
    <t>Vaät lieäu ñaøi coïc :</t>
  </si>
  <si>
    <t xml:space="preserve"> + Beâ toâng maùc : </t>
  </si>
  <si>
    <t xml:space="preserve">  3.Baûng tính toaùn :</t>
  </si>
  <si>
    <t>M(T.m)</t>
  </si>
  <si>
    <t>Choïn theùp</t>
  </si>
  <si>
    <t>Ñ.kính</t>
  </si>
  <si>
    <t>S.thanh</t>
  </si>
  <si>
    <t>(choïn)</t>
  </si>
  <si>
    <r>
      <t>Fa (cm</t>
    </r>
    <r>
      <rPr>
        <vertAlign val="superscript"/>
        <sz val="10"/>
        <color indexed="12"/>
        <rFont val="VNI-Times"/>
        <family val="0"/>
      </rPr>
      <t>2</t>
    </r>
    <r>
      <rPr>
        <sz val="10"/>
        <color indexed="12"/>
        <rFont val="VNI-Times"/>
        <family val="0"/>
      </rPr>
      <t>)</t>
    </r>
  </si>
  <si>
    <t>Caïnh ngaén</t>
  </si>
  <si>
    <t>Caïnh daøi</t>
  </si>
  <si>
    <t>.</t>
  </si>
  <si>
    <t xml:space="preserve">I.- SÖÙC CHÒU TAÛI CUÛA COÏC THEO VAÄT LIEÄU </t>
  </si>
  <si>
    <t>m =</t>
  </si>
  <si>
    <t>(heä soá keå ñeán aûnh höôûng uoán doïc coïc)</t>
  </si>
  <si>
    <t>XAÙC ÑÒNH SÖÙC CHÒU TAÛI CUÛA COÏC BEÂ TOÂNG COÁT THEÙP.</t>
  </si>
  <si>
    <t>d=</t>
  </si>
  <si>
    <t>(cm) - Caïnh coïc.</t>
  </si>
  <si>
    <t>Maùc beton</t>
  </si>
  <si>
    <t>Rn=</t>
  </si>
  <si>
    <t>Ra=</t>
  </si>
  <si>
    <t>Ñ.kính theùp:</t>
  </si>
  <si>
    <r>
      <t>A</t>
    </r>
    <r>
      <rPr>
        <vertAlign val="subscript"/>
        <sz val="10"/>
        <rFont val="VNI-Times"/>
        <family val="0"/>
      </rPr>
      <t>a</t>
    </r>
    <r>
      <rPr>
        <sz val="10"/>
        <rFont val="VNI-Times"/>
        <family val="0"/>
      </rPr>
      <t>=</t>
    </r>
  </si>
  <si>
    <r>
      <t>Q</t>
    </r>
    <r>
      <rPr>
        <vertAlign val="subscript"/>
        <sz val="10"/>
        <rFont val="VNI-Times"/>
        <family val="0"/>
      </rPr>
      <t>VL</t>
    </r>
    <r>
      <rPr>
        <sz val="10"/>
        <rFont val="VNI-Times"/>
        <family val="0"/>
      </rPr>
      <t xml:space="preserve"> = </t>
    </r>
  </si>
  <si>
    <t>(Tieâu chuaån XDVN 205:1998)</t>
  </si>
  <si>
    <t>Söùc chòu taûi cho pheùp cuûa coïc ñôn xaùc ñònh theo coâng thöùc:</t>
  </si>
  <si>
    <r>
      <t xml:space="preserve">     Q</t>
    </r>
    <r>
      <rPr>
        <vertAlign val="subscript"/>
        <sz val="10"/>
        <rFont val="VNI-Times"/>
        <family val="0"/>
      </rPr>
      <t>TC</t>
    </r>
    <r>
      <rPr>
        <sz val="10"/>
        <rFont val="VNI-Times"/>
        <family val="0"/>
      </rPr>
      <t xml:space="preserve"> :Söùc chòu taûi tieâu chuaån tính toaùn theo ñaát neàn cuûa coïc ñôn.</t>
    </r>
  </si>
  <si>
    <r>
      <t>K</t>
    </r>
    <r>
      <rPr>
        <vertAlign val="subscript"/>
        <sz val="10"/>
        <rFont val="VNI-Times"/>
        <family val="0"/>
      </rPr>
      <t>TC</t>
    </r>
    <r>
      <rPr>
        <sz val="10"/>
        <rFont val="VNI-Times"/>
        <family val="0"/>
      </rPr>
      <t xml:space="preserve"> = </t>
    </r>
  </si>
  <si>
    <t>m=</t>
  </si>
  <si>
    <t>(Heä soá laøm vieäc cuûa coïc trong ñaát )</t>
  </si>
  <si>
    <r>
      <t>m</t>
    </r>
    <r>
      <rPr>
        <vertAlign val="subscript"/>
        <sz val="10"/>
        <rFont val="VNI-Times"/>
        <family val="0"/>
      </rPr>
      <t>R</t>
    </r>
    <r>
      <rPr>
        <sz val="10"/>
        <rFont val="VNI-Times"/>
        <family val="0"/>
      </rPr>
      <t>=</t>
    </r>
  </si>
  <si>
    <t>S.thanh theùp:</t>
  </si>
  <si>
    <r>
      <t>q</t>
    </r>
    <r>
      <rPr>
        <vertAlign val="subscript"/>
        <sz val="10"/>
        <rFont val="VNI-Times"/>
        <family val="0"/>
      </rPr>
      <t>p</t>
    </r>
    <r>
      <rPr>
        <sz val="10"/>
        <rFont val="VNI-Times"/>
        <family val="0"/>
      </rPr>
      <t>=</t>
    </r>
  </si>
  <si>
    <t>(T/m2)</t>
  </si>
  <si>
    <r>
      <t>Q</t>
    </r>
    <r>
      <rPr>
        <vertAlign val="subscript"/>
        <sz val="10"/>
        <rFont val="VNI-Times"/>
        <family val="0"/>
      </rPr>
      <t>p</t>
    </r>
    <r>
      <rPr>
        <sz val="10"/>
        <rFont val="VNI-Times"/>
        <family val="0"/>
      </rPr>
      <t>=</t>
    </r>
  </si>
  <si>
    <r>
      <t xml:space="preserve">     K</t>
    </r>
    <r>
      <rPr>
        <vertAlign val="subscript"/>
        <sz val="10"/>
        <rFont val="VNI-Times"/>
        <family val="0"/>
      </rPr>
      <t>TC</t>
    </r>
    <r>
      <rPr>
        <sz val="10"/>
        <rFont val="VNI-Times"/>
        <family val="0"/>
      </rPr>
      <t xml:space="preserve"> :Heä soá an toaøn keå ñeán aûnh höôûng cuûa nhoùm coïc(Ktc = 1.4 - 1.75), sô boä ta choïn:</t>
    </r>
  </si>
  <si>
    <t>Vaäy söùc choáng muõi coïc:</t>
  </si>
  <si>
    <t xml:space="preserve"> + u: chu vi maët caét ngang coïc,(m)</t>
  </si>
  <si>
    <t>u=</t>
  </si>
  <si>
    <t>(H.soá laøm vieäc cuûa ñaát ôû muõi coïc coù keå ñeán aûnh höôûng p.phaùp haï coïc,tra baûng A3 )</t>
  </si>
  <si>
    <t>(H.soá laøm vieäc cuûa ñaát ôû maët beân coïc coù keå ñeán aûnh höôûng p.phaùp haï coïc,tra baûng A3 )</t>
  </si>
  <si>
    <r>
      <t>f</t>
    </r>
    <r>
      <rPr>
        <vertAlign val="subscript"/>
        <sz val="10"/>
        <rFont val="VNI-Times"/>
        <family val="0"/>
      </rPr>
      <t>si</t>
    </r>
    <r>
      <rPr>
        <sz val="10"/>
        <rFont val="VNI-Times"/>
        <family val="0"/>
      </rPr>
      <t xml:space="preserve"> : ma saùt beân coïc, tra baûng A2 phuï thuoäc ñoä saâu trung bình cuûa lôùp ñaát, traïng thaùi ñaát.(T/m2)</t>
    </r>
  </si>
  <si>
    <r>
      <t>l</t>
    </r>
    <r>
      <rPr>
        <vertAlign val="subscript"/>
        <sz val="10"/>
        <rFont val="VNI-Times"/>
        <family val="0"/>
      </rPr>
      <t>i</t>
    </r>
    <r>
      <rPr>
        <sz val="10"/>
        <rFont val="VNI-Times"/>
        <family val="0"/>
      </rPr>
      <t xml:space="preserve"> : chieàu daøy lôùp ñaát thöù i maø coïc ñi qua.(m)</t>
    </r>
  </si>
  <si>
    <t xml:space="preserve"> LÔÙP ÑAÁT</t>
  </si>
  <si>
    <r>
      <t>f</t>
    </r>
    <r>
      <rPr>
        <b/>
        <vertAlign val="subscript"/>
        <sz val="10"/>
        <rFont val="VNI-Times"/>
        <family val="0"/>
      </rPr>
      <t>si</t>
    </r>
    <r>
      <rPr>
        <b/>
        <sz val="10"/>
        <rFont val="VNI-Times"/>
        <family val="0"/>
      </rPr>
      <t xml:space="preserve"> (T/m2)</t>
    </r>
  </si>
  <si>
    <r>
      <t>l</t>
    </r>
    <r>
      <rPr>
        <b/>
        <vertAlign val="subscript"/>
        <sz val="10"/>
        <rFont val="VNI-Times"/>
        <family val="0"/>
      </rPr>
      <t>i</t>
    </r>
    <r>
      <rPr>
        <b/>
        <sz val="10"/>
        <rFont val="VNI-Times"/>
        <family val="0"/>
      </rPr>
      <t xml:space="preserve"> (m)</t>
    </r>
  </si>
  <si>
    <r>
      <t>f</t>
    </r>
    <r>
      <rPr>
        <b/>
        <vertAlign val="subscript"/>
        <sz val="10"/>
        <rFont val="VNI-Times"/>
        <family val="0"/>
      </rPr>
      <t>si</t>
    </r>
    <r>
      <rPr>
        <b/>
        <sz val="10"/>
        <rFont val="VNI-Times"/>
        <family val="0"/>
      </rPr>
      <t xml:space="preserve"> l</t>
    </r>
    <r>
      <rPr>
        <b/>
        <vertAlign val="subscript"/>
        <sz val="10"/>
        <rFont val="VNI-Times"/>
        <family val="0"/>
      </rPr>
      <t>i</t>
    </r>
  </si>
  <si>
    <t>TOÅNG</t>
  </si>
  <si>
    <r>
      <t>Vaäy thaønh phaàn ma saùt hoâng Q</t>
    </r>
    <r>
      <rPr>
        <vertAlign val="subscript"/>
        <sz val="10"/>
        <rFont val="VNI-Times"/>
        <family val="0"/>
      </rPr>
      <t>f</t>
    </r>
    <r>
      <rPr>
        <sz val="10"/>
        <rFont val="VNI-Times"/>
        <family val="0"/>
      </rPr>
      <t>:</t>
    </r>
  </si>
  <si>
    <r>
      <t>Q</t>
    </r>
    <r>
      <rPr>
        <vertAlign val="subscript"/>
        <sz val="10"/>
        <rFont val="VNI-Times"/>
        <family val="0"/>
      </rPr>
      <t>f</t>
    </r>
    <r>
      <rPr>
        <sz val="10"/>
        <rFont val="VNI-Times"/>
        <family val="0"/>
      </rPr>
      <t>=</t>
    </r>
  </si>
  <si>
    <t>Do ñoù:</t>
  </si>
  <si>
    <r>
      <t>Q</t>
    </r>
    <r>
      <rPr>
        <vertAlign val="subscript"/>
        <sz val="10"/>
        <rFont val="VNI-Times"/>
        <family val="0"/>
      </rPr>
      <t>TC</t>
    </r>
    <r>
      <rPr>
        <sz val="10"/>
        <rFont val="VNI-Times"/>
        <family val="0"/>
      </rPr>
      <t>=</t>
    </r>
  </si>
  <si>
    <r>
      <t>Q</t>
    </r>
    <r>
      <rPr>
        <vertAlign val="subscript"/>
        <sz val="10"/>
        <rFont val="VNI-Times"/>
        <family val="0"/>
      </rPr>
      <t>a</t>
    </r>
    <r>
      <rPr>
        <sz val="10"/>
        <rFont val="VNI-Times"/>
        <family val="0"/>
      </rPr>
      <t>=</t>
    </r>
  </si>
  <si>
    <r>
      <t>Q</t>
    </r>
    <r>
      <rPr>
        <b/>
        <vertAlign val="subscript"/>
        <sz val="10"/>
        <rFont val="VNI-Times"/>
        <family val="0"/>
      </rPr>
      <t>a</t>
    </r>
    <r>
      <rPr>
        <b/>
        <sz val="10"/>
        <rFont val="VNI-Times"/>
        <family val="0"/>
      </rPr>
      <t>=</t>
    </r>
  </si>
  <si>
    <t>II.- SÖÙC CHÒU TAÛI CUÛA COÏC THEO CHÆ TIEÂU CÔ LYÙ CUÛA ÑAÁT NEÀN</t>
  </si>
  <si>
    <t>III.- SÖÙC CHÒU TAÛI CUÛA COÏC THEO  CÖÔØNG ÑOÄ CUÛA ÑAÁT NEÀN</t>
  </si>
  <si>
    <t>Söùc chòu taûi cho pheùp cuûa coïc tính theo coâng thöùc:</t>
  </si>
  <si>
    <r>
      <t>q</t>
    </r>
    <r>
      <rPr>
        <vertAlign val="subscript"/>
        <sz val="10"/>
        <rFont val="VNI-Times"/>
        <family val="0"/>
      </rPr>
      <t xml:space="preserve">p </t>
    </r>
    <r>
      <rPr>
        <sz val="10"/>
        <rFont val="VNI-Times"/>
        <family val="0"/>
      </rPr>
      <t>(T/m2): Cöôøng ñoä chòu taûi cuûa ñaát neàn ôû muõi coïc , tra baûng A1 phuï thuoäc ñoä saâu muõi coïc vaø traïng thaùi ñaát ôû muõi coïc.</t>
    </r>
  </si>
  <si>
    <r>
      <t>q</t>
    </r>
    <r>
      <rPr>
        <vertAlign val="subscript"/>
        <sz val="10"/>
        <rFont val="VNI-Times"/>
        <family val="0"/>
      </rPr>
      <t xml:space="preserve">p </t>
    </r>
    <r>
      <rPr>
        <sz val="10"/>
        <rFont val="VNI-Times"/>
        <family val="0"/>
      </rPr>
      <t>(T/m2): Cöôøng ñoä chòu taûi cuûa ñaát neàn ôû muõi coïc tính theo coâng thöùc sau:</t>
    </r>
  </si>
  <si>
    <t xml:space="preserve">          Vôùi :</t>
  </si>
  <si>
    <t>c =</t>
  </si>
  <si>
    <t>(T/m2) - Löïc dính cuûa ñaát ôû muõi coïc.</t>
  </si>
  <si>
    <r>
      <t>j</t>
    </r>
    <r>
      <rPr>
        <sz val="10"/>
        <rFont val="VNI-Times"/>
        <family val="0"/>
      </rPr>
      <t>=</t>
    </r>
  </si>
  <si>
    <r>
      <t>(</t>
    </r>
    <r>
      <rPr>
        <vertAlign val="superscript"/>
        <sz val="10"/>
        <rFont val="VNI-Times"/>
        <family val="0"/>
      </rPr>
      <t>o</t>
    </r>
    <r>
      <rPr>
        <sz val="10"/>
        <rFont val="VNI-Times"/>
        <family val="0"/>
      </rPr>
      <t>) - Goùc ma saùt trong cuûa ñaát ôû muõi coïc.</t>
    </r>
  </si>
  <si>
    <r>
      <t>N</t>
    </r>
    <r>
      <rPr>
        <b/>
        <vertAlign val="subscript"/>
        <sz val="10"/>
        <color indexed="8"/>
        <rFont val="VNI-Times"/>
        <family val="0"/>
      </rPr>
      <t>c</t>
    </r>
    <r>
      <rPr>
        <b/>
        <sz val="10"/>
        <color indexed="8"/>
        <rFont val="VNI-Times"/>
        <family val="0"/>
      </rPr>
      <t xml:space="preserve"> =</t>
    </r>
  </si>
  <si>
    <r>
      <t>N</t>
    </r>
    <r>
      <rPr>
        <b/>
        <vertAlign val="subscript"/>
        <sz val="10"/>
        <color indexed="8"/>
        <rFont val="VNI-Times"/>
        <family val="0"/>
      </rPr>
      <t>q</t>
    </r>
    <r>
      <rPr>
        <b/>
        <sz val="10"/>
        <color indexed="8"/>
        <rFont val="VNI-Times"/>
        <family val="0"/>
      </rPr>
      <t xml:space="preserve"> =</t>
    </r>
  </si>
  <si>
    <r>
      <t xml:space="preserve">                s</t>
    </r>
    <r>
      <rPr>
        <sz val="10"/>
        <color indexed="8"/>
        <rFont val="VNI-Times"/>
        <family val="0"/>
      </rPr>
      <t>'</t>
    </r>
    <r>
      <rPr>
        <vertAlign val="subscript"/>
        <sz val="10"/>
        <color indexed="8"/>
        <rFont val="VNI-Times"/>
        <family val="0"/>
      </rPr>
      <t>vp</t>
    </r>
    <r>
      <rPr>
        <sz val="10"/>
        <color indexed="8"/>
        <rFont val="VNI-Times"/>
        <family val="0"/>
      </rPr>
      <t xml:space="preserve"> : öùng suaát coù hieäu theo phöông thaúng ñöùng taïi ñoä saâu muõi coïc do troïng löôïng baûn thaân ñaát, (T/m2)</t>
    </r>
  </si>
  <si>
    <t>Vaäy cöôøng ñoä chòu taûi cuûa ñaát neàn ôû muõi coïc:</t>
  </si>
  <si>
    <r>
      <t>q</t>
    </r>
    <r>
      <rPr>
        <b/>
        <vertAlign val="subscript"/>
        <sz val="10"/>
        <color indexed="8"/>
        <rFont val="VNI-Times"/>
        <family val="0"/>
      </rPr>
      <t>p</t>
    </r>
    <r>
      <rPr>
        <b/>
        <sz val="10"/>
        <color indexed="8"/>
        <rFont val="VNI-Times"/>
        <family val="0"/>
      </rPr>
      <t xml:space="preserve"> =</t>
    </r>
  </si>
  <si>
    <t xml:space="preserve">(T/m2) </t>
  </si>
  <si>
    <t>Do ñoù söùc choáng muõi laø:</t>
  </si>
  <si>
    <r>
      <t>Q</t>
    </r>
    <r>
      <rPr>
        <b/>
        <vertAlign val="subscript"/>
        <sz val="10"/>
        <color indexed="8"/>
        <rFont val="VNI-Times"/>
        <family val="0"/>
      </rPr>
      <t>p</t>
    </r>
    <r>
      <rPr>
        <b/>
        <sz val="10"/>
        <color indexed="8"/>
        <rFont val="VNI-Times"/>
        <family val="0"/>
      </rPr>
      <t xml:space="preserve"> =</t>
    </r>
  </si>
  <si>
    <r>
      <t>f</t>
    </r>
    <r>
      <rPr>
        <vertAlign val="subscript"/>
        <sz val="10"/>
        <rFont val="VNI-Times"/>
        <family val="0"/>
      </rPr>
      <t>si</t>
    </r>
    <r>
      <rPr>
        <sz val="10"/>
        <rFont val="VNI-Times"/>
        <family val="0"/>
      </rPr>
      <t xml:space="preserve"> (T/m2) - ma saùt beân taùc duïng leân coïc xaùc ñònh theo coâng thöùc:</t>
    </r>
  </si>
  <si>
    <t>(T/m2) - Löïc dính giöõa thaân coïc vaø ñaát.</t>
  </si>
  <si>
    <r>
      <t>(</t>
    </r>
    <r>
      <rPr>
        <vertAlign val="superscript"/>
        <sz val="10"/>
        <rFont val="VNI-Times"/>
        <family val="0"/>
      </rPr>
      <t>o</t>
    </r>
    <r>
      <rPr>
        <sz val="10"/>
        <rFont val="VNI-Times"/>
        <family val="0"/>
      </rPr>
      <t>) - Goùc ma saùt trong giöõa coïc vaø ñaát neàn.</t>
    </r>
  </si>
  <si>
    <r>
      <t>c</t>
    </r>
    <r>
      <rPr>
        <vertAlign val="subscript"/>
        <sz val="10"/>
        <rFont val="VNI-Times"/>
        <family val="0"/>
      </rPr>
      <t>a</t>
    </r>
    <r>
      <rPr>
        <sz val="10"/>
        <rFont val="VNI-Times"/>
        <family val="0"/>
      </rPr>
      <t xml:space="preserve"> =c</t>
    </r>
  </si>
  <si>
    <r>
      <t>j</t>
    </r>
    <r>
      <rPr>
        <vertAlign val="subscript"/>
        <sz val="10"/>
        <rFont val="VNI-Times"/>
        <family val="0"/>
      </rPr>
      <t>a</t>
    </r>
    <r>
      <rPr>
        <sz val="10"/>
        <rFont val="VNI-Times"/>
        <family val="0"/>
      </rPr>
      <t>=</t>
    </r>
    <r>
      <rPr>
        <sz val="10"/>
        <rFont val="Symbol"/>
        <family val="1"/>
      </rPr>
      <t>j</t>
    </r>
    <r>
      <rPr>
        <sz val="10"/>
        <rFont val="VNI-Times"/>
        <family val="0"/>
      </rPr>
      <t>=</t>
    </r>
  </si>
  <si>
    <r>
      <t xml:space="preserve">             s</t>
    </r>
    <r>
      <rPr>
        <sz val="10"/>
        <rFont val="VNI-Times"/>
        <family val="0"/>
      </rPr>
      <t>'</t>
    </r>
    <r>
      <rPr>
        <vertAlign val="subscript"/>
        <sz val="10"/>
        <rFont val="VNI-Times"/>
        <family val="0"/>
      </rPr>
      <t>h</t>
    </r>
    <r>
      <rPr>
        <sz val="10"/>
        <rFont val="VNI-Times"/>
        <family val="0"/>
      </rPr>
      <t xml:space="preserve"> (T/m2) - ÖÙng suaát höõu hieäu trong ñaát theo phöông vuoâng goùc vôùi maët beân coïc.</t>
    </r>
  </si>
  <si>
    <t xml:space="preserve">  Lôùp ñaát thöù 1 tính töø ñaùy ñaøi moùng trôû leân vaø dung troïng laø dung troïng trung bình giöõa ñaát vaø beâ toâng </t>
  </si>
  <si>
    <r>
      <t xml:space="preserve"> + Xaùc ñònh thaønh phaàn ma saùt hoâng Q</t>
    </r>
    <r>
      <rPr>
        <i/>
        <u val="single"/>
        <vertAlign val="subscript"/>
        <sz val="10"/>
        <color indexed="10"/>
        <rFont val="VNI-Times"/>
        <family val="0"/>
      </rPr>
      <t>f</t>
    </r>
    <r>
      <rPr>
        <i/>
        <u val="single"/>
        <sz val="10"/>
        <color indexed="10"/>
        <rFont val="VNI-Times"/>
        <family val="0"/>
      </rPr>
      <t>:</t>
    </r>
  </si>
  <si>
    <r>
      <t xml:space="preserve"> + Xaùc ñònh söùc choáng muõi coïc Q</t>
    </r>
    <r>
      <rPr>
        <i/>
        <u val="single"/>
        <vertAlign val="subscript"/>
        <sz val="10"/>
        <color indexed="10"/>
        <rFont val="VNI-Times"/>
        <family val="0"/>
      </rPr>
      <t>p</t>
    </r>
    <r>
      <rPr>
        <i/>
        <u val="single"/>
        <sz val="10"/>
        <color indexed="10"/>
        <rFont val="VNI-Times"/>
        <family val="0"/>
      </rPr>
      <t>:</t>
    </r>
  </si>
  <si>
    <r>
      <t xml:space="preserve"> s</t>
    </r>
    <r>
      <rPr>
        <sz val="10"/>
        <rFont val="VNI-Times"/>
        <family val="0"/>
      </rPr>
      <t>'</t>
    </r>
    <r>
      <rPr>
        <vertAlign val="subscript"/>
        <sz val="10"/>
        <rFont val="VNI-Times"/>
        <family val="0"/>
      </rPr>
      <t>h</t>
    </r>
    <r>
      <rPr>
        <sz val="10"/>
        <rFont val="VNI-Times"/>
        <family val="0"/>
      </rPr>
      <t xml:space="preserve"> (T/m2) </t>
    </r>
  </si>
  <si>
    <r>
      <t xml:space="preserve">Ztb </t>
    </r>
    <r>
      <rPr>
        <sz val="10"/>
        <rFont val="VNI-Times"/>
        <family val="0"/>
      </rPr>
      <t>(m)</t>
    </r>
  </si>
  <si>
    <r>
      <t>g</t>
    </r>
    <r>
      <rPr>
        <b/>
        <sz val="10"/>
        <rFont val="VNI-Times"/>
        <family val="0"/>
      </rPr>
      <t xml:space="preserve"> </t>
    </r>
    <r>
      <rPr>
        <sz val="10"/>
        <rFont val="VNI-Times"/>
        <family val="0"/>
      </rPr>
      <t>(T/m</t>
    </r>
    <r>
      <rPr>
        <vertAlign val="superscript"/>
        <sz val="10"/>
        <rFont val="VNI-Times"/>
        <family val="0"/>
      </rPr>
      <t>3</t>
    </r>
    <r>
      <rPr>
        <sz val="10"/>
        <rFont val="VNI-Times"/>
        <family val="0"/>
      </rPr>
      <t>)</t>
    </r>
  </si>
  <si>
    <t>Keát luaän : söùc chòu taûi cuûa coïc xaùc ñònh theo chæ tieâu cô lyù cuûa ñaát neàn</t>
  </si>
  <si>
    <r>
      <t>Q</t>
    </r>
    <r>
      <rPr>
        <vertAlign val="subscript"/>
        <sz val="10"/>
        <rFont val="VNI-Times"/>
        <family val="0"/>
      </rPr>
      <t>choïn</t>
    </r>
    <r>
      <rPr>
        <sz val="10"/>
        <rFont val="VNI-Times"/>
        <family val="0"/>
      </rPr>
      <t>=</t>
    </r>
  </si>
  <si>
    <t>GHI CHUÙ:</t>
  </si>
  <si>
    <r>
      <t xml:space="preserve"> 1. - Keát quaû tính toaùn söùc chòu taûi cuûa coïc theo cöôøng ñoä cuûa ñaát neàn  chæ aùp duïng cho neàn ñaát laø"</t>
    </r>
    <r>
      <rPr>
        <b/>
        <sz val="10"/>
        <rFont val="VNI-Times"/>
        <family val="0"/>
      </rPr>
      <t>Ñaát dính".</t>
    </r>
  </si>
  <si>
    <r>
      <t>f</t>
    </r>
    <r>
      <rPr>
        <b/>
        <vertAlign val="subscript"/>
        <sz val="10"/>
        <rFont val="VNI-Times"/>
        <family val="0"/>
      </rPr>
      <t>s</t>
    </r>
    <r>
      <rPr>
        <b/>
        <sz val="10"/>
        <rFont val="VNI-Times"/>
        <family val="0"/>
      </rPr>
      <t xml:space="preserve"> (Z&gt;Z</t>
    </r>
    <r>
      <rPr>
        <b/>
        <vertAlign val="subscript"/>
        <sz val="10"/>
        <rFont val="VNI-Times"/>
        <family val="0"/>
      </rPr>
      <t>c</t>
    </r>
    <r>
      <rPr>
        <b/>
        <sz val="10"/>
        <rFont val="VNI-Times"/>
        <family val="0"/>
      </rPr>
      <t>) = f</t>
    </r>
    <r>
      <rPr>
        <b/>
        <vertAlign val="subscript"/>
        <sz val="10"/>
        <rFont val="VNI-Times"/>
        <family val="0"/>
      </rPr>
      <t>s</t>
    </r>
    <r>
      <rPr>
        <b/>
        <sz val="10"/>
        <rFont val="VNI-Times"/>
        <family val="0"/>
      </rPr>
      <t xml:space="preserve"> ( Z= Z</t>
    </r>
    <r>
      <rPr>
        <b/>
        <vertAlign val="subscript"/>
        <sz val="10"/>
        <rFont val="VNI-Times"/>
        <family val="0"/>
      </rPr>
      <t>c</t>
    </r>
    <r>
      <rPr>
        <b/>
        <sz val="10"/>
        <rFont val="VNI-Times"/>
        <family val="0"/>
      </rPr>
      <t>)</t>
    </r>
  </si>
  <si>
    <r>
      <t>q</t>
    </r>
    <r>
      <rPr>
        <b/>
        <vertAlign val="subscript"/>
        <sz val="10"/>
        <rFont val="VNI-Times"/>
        <family val="0"/>
      </rPr>
      <t>p</t>
    </r>
    <r>
      <rPr>
        <b/>
        <sz val="10"/>
        <rFont val="VNI-Times"/>
        <family val="0"/>
      </rPr>
      <t xml:space="preserve"> (Z&gt;Z</t>
    </r>
    <r>
      <rPr>
        <b/>
        <vertAlign val="subscript"/>
        <sz val="10"/>
        <rFont val="VNI-Times"/>
        <family val="0"/>
      </rPr>
      <t>c</t>
    </r>
    <r>
      <rPr>
        <b/>
        <sz val="10"/>
        <rFont val="VNI-Times"/>
        <family val="0"/>
      </rPr>
      <t>) = q</t>
    </r>
    <r>
      <rPr>
        <b/>
        <vertAlign val="subscript"/>
        <sz val="10"/>
        <rFont val="VNI-Times"/>
        <family val="0"/>
      </rPr>
      <t>p</t>
    </r>
    <r>
      <rPr>
        <b/>
        <sz val="10"/>
        <rFont val="VNI-Times"/>
        <family val="0"/>
      </rPr>
      <t xml:space="preserve"> (Z=Z</t>
    </r>
    <r>
      <rPr>
        <b/>
        <vertAlign val="subscript"/>
        <sz val="10"/>
        <rFont val="VNI-Times"/>
        <family val="0"/>
      </rPr>
      <t>c</t>
    </r>
    <r>
      <rPr>
        <b/>
        <sz val="10"/>
        <rFont val="VNI-Times"/>
        <family val="0"/>
      </rPr>
      <t>)</t>
    </r>
  </si>
  <si>
    <t xml:space="preserve"> Ñoä saâu giôùi haïn  Zc(m) xaùc ñònh theo goùc ma saùt trong cuûa ñaát neàn.(hình B4-tuyeån taäp TCXDVN -trang436)</t>
  </si>
  <si>
    <t>c(T/m2)</t>
  </si>
  <si>
    <r>
      <t>j</t>
    </r>
    <r>
      <rPr>
        <b/>
        <sz val="10"/>
        <rFont val="VNI-Times"/>
        <family val="0"/>
      </rPr>
      <t>(</t>
    </r>
    <r>
      <rPr>
        <b/>
        <vertAlign val="superscript"/>
        <sz val="10"/>
        <rFont val="VNI-Times"/>
        <family val="0"/>
      </rPr>
      <t>o</t>
    </r>
    <r>
      <rPr>
        <b/>
        <sz val="10"/>
        <rFont val="VNI-Times"/>
        <family val="0"/>
      </rPr>
      <t>)</t>
    </r>
  </si>
  <si>
    <r>
      <t>l</t>
    </r>
    <r>
      <rPr>
        <vertAlign val="subscript"/>
        <sz val="10"/>
        <rFont val="VNI-Times"/>
        <family val="0"/>
      </rPr>
      <t>i</t>
    </r>
    <r>
      <rPr>
        <sz val="10"/>
        <rFont val="VNI-Times"/>
        <family val="0"/>
      </rPr>
      <t xml:space="preserve">  - chieàu daøy lôùp ñaát thöù i maø coïc ñi qua.(m)</t>
    </r>
  </si>
  <si>
    <t xml:space="preserve">Ks </t>
  </si>
  <si>
    <t xml:space="preserve">      Ztb: ñoä saâu trung bình cuûa lôùp ñaát. </t>
  </si>
  <si>
    <r>
      <t>g</t>
    </r>
    <r>
      <rPr>
        <b/>
        <sz val="10"/>
        <rFont val="VNI-Times"/>
        <family val="0"/>
      </rPr>
      <t>h (T/m2)</t>
    </r>
  </si>
  <si>
    <t>Ghi chuù</t>
  </si>
  <si>
    <t>MNN naèm ôû giöõa lôùp 3,</t>
  </si>
  <si>
    <t>1.989 laø dung troïng töï nhieân</t>
  </si>
  <si>
    <r>
      <t>j</t>
    </r>
    <r>
      <rPr>
        <vertAlign val="superscript"/>
        <sz val="10"/>
        <rFont val="VNI-Times"/>
        <family val="0"/>
      </rPr>
      <t>tc</t>
    </r>
    <r>
      <rPr>
        <sz val="10"/>
        <rFont val="VNI-Times"/>
        <family val="0"/>
      </rPr>
      <t>=</t>
    </r>
    <r>
      <rPr>
        <sz val="10"/>
        <rFont val="Symbol"/>
        <family val="1"/>
      </rPr>
      <t>j</t>
    </r>
    <r>
      <rPr>
        <vertAlign val="subscript"/>
        <sz val="10"/>
        <rFont val="VNI-Times"/>
        <family val="0"/>
      </rPr>
      <t>mq</t>
    </r>
    <r>
      <rPr>
        <sz val="10"/>
        <rFont val="VNI-Times"/>
        <family val="0"/>
      </rPr>
      <t>=</t>
    </r>
  </si>
  <si>
    <t xml:space="preserve">  + Chieàu daøi ñoaïn coïc L=</t>
  </si>
  <si>
    <t xml:space="preserve">  + Caïnh coïc d=</t>
  </si>
  <si>
    <t xml:space="preserve">  + Beâ toâng  coïc maùc :</t>
  </si>
  <si>
    <t xml:space="preserve">  + Theùp coïc :</t>
  </si>
  <si>
    <t xml:space="preserve">  + Ñ.kính theùp doïc trong coïc :</t>
  </si>
  <si>
    <t xml:space="preserve">  + S.thanh theùp ôû 1 caïnh coïc :</t>
  </si>
  <si>
    <t>, Rn =</t>
  </si>
  <si>
    <t>, Ra =</t>
  </si>
  <si>
    <t xml:space="preserve">Ñoä saâu cuûa </t>
  </si>
  <si>
    <t>muõi coïc(m)</t>
  </si>
  <si>
    <t>Cuûa ñaát caùt chaët vöøa</t>
  </si>
  <si>
    <t>Soûi</t>
  </si>
  <si>
    <t>Thoâ</t>
  </si>
  <si>
    <t>-</t>
  </si>
  <si>
    <t>Thoâ vöøa</t>
  </si>
  <si>
    <t>Mòn</t>
  </si>
  <si>
    <t>Buïi</t>
  </si>
  <si>
    <r>
      <t>BAÛNG A1 - Söùc choáng cuûa ñaát ôû muõi coïc q</t>
    </r>
    <r>
      <rPr>
        <b/>
        <vertAlign val="subscript"/>
        <sz val="10"/>
        <color indexed="10"/>
        <rFont val="VNI-Times"/>
        <family val="0"/>
      </rPr>
      <t>p</t>
    </r>
    <r>
      <rPr>
        <b/>
        <sz val="10"/>
        <color indexed="10"/>
        <rFont val="VNI-Times"/>
        <family val="0"/>
      </rPr>
      <t xml:space="preserve"> (T/m</t>
    </r>
    <r>
      <rPr>
        <b/>
        <vertAlign val="superscript"/>
        <sz val="10"/>
        <color indexed="10"/>
        <rFont val="VNI-Times"/>
        <family val="0"/>
      </rPr>
      <t>2</t>
    </r>
    <r>
      <rPr>
        <b/>
        <sz val="10"/>
        <color indexed="10"/>
        <rFont val="VNI-Times"/>
        <family val="0"/>
      </rPr>
      <t>).</t>
    </r>
  </si>
  <si>
    <r>
      <t>Söùc choáng cuûa coïc ñoùng vaø coïc oáng khoâng nhoài beâ toâng ,q</t>
    </r>
    <r>
      <rPr>
        <b/>
        <vertAlign val="subscript"/>
        <sz val="10"/>
        <color indexed="12"/>
        <rFont val="VNI-Times"/>
        <family val="0"/>
      </rPr>
      <t>p</t>
    </r>
    <r>
      <rPr>
        <b/>
        <sz val="10"/>
        <color indexed="12"/>
        <rFont val="VNI-Times"/>
        <family val="0"/>
      </rPr>
      <t xml:space="preserve"> (T/m</t>
    </r>
    <r>
      <rPr>
        <b/>
        <vertAlign val="superscript"/>
        <sz val="10"/>
        <color indexed="12"/>
        <rFont val="VNI-Times"/>
        <family val="0"/>
      </rPr>
      <t>2</t>
    </r>
    <r>
      <rPr>
        <b/>
        <sz val="10"/>
        <color indexed="12"/>
        <rFont val="VNI-Times"/>
        <family val="0"/>
      </rPr>
      <t>)</t>
    </r>
  </si>
  <si>
    <r>
      <t>Cuûa ñaát seùt vôùi chæ soá ñoä seät I</t>
    </r>
    <r>
      <rPr>
        <vertAlign val="subscript"/>
        <sz val="10"/>
        <color indexed="12"/>
        <rFont val="VNI-Times"/>
        <family val="0"/>
      </rPr>
      <t>L</t>
    </r>
    <r>
      <rPr>
        <sz val="10"/>
        <color indexed="12"/>
        <rFont val="VNI-Times"/>
        <family val="0"/>
      </rPr>
      <t xml:space="preserve"> baèng</t>
    </r>
  </si>
  <si>
    <t>680/510</t>
  </si>
  <si>
    <t>660/400</t>
  </si>
  <si>
    <t>700/620</t>
  </si>
  <si>
    <t>730/690</t>
  </si>
  <si>
    <t>770/730</t>
  </si>
  <si>
    <t>820/750</t>
  </si>
  <si>
    <t>310/200</t>
  </si>
  <si>
    <t>320/250</t>
  </si>
  <si>
    <t>340/280</t>
  </si>
  <si>
    <t>370/330</t>
  </si>
  <si>
    <t>400/350</t>
  </si>
  <si>
    <t>440/400</t>
  </si>
  <si>
    <t>480/450</t>
  </si>
  <si>
    <t>200/120</t>
  </si>
  <si>
    <t>210/160</t>
  </si>
  <si>
    <t>220/200</t>
  </si>
  <si>
    <t>240/220</t>
  </si>
  <si>
    <t>260/240</t>
  </si>
  <si>
    <r>
      <t>BAÛNG A2 - Ma saùt beân f</t>
    </r>
    <r>
      <rPr>
        <b/>
        <vertAlign val="subscript"/>
        <sz val="10"/>
        <color indexed="10"/>
        <rFont val="VNI-Times"/>
        <family val="0"/>
      </rPr>
      <t>s</t>
    </r>
    <r>
      <rPr>
        <b/>
        <sz val="10"/>
        <color indexed="10"/>
        <rFont val="VNI-Times"/>
        <family val="0"/>
      </rPr>
      <t xml:space="preserve"> (T/m</t>
    </r>
    <r>
      <rPr>
        <b/>
        <vertAlign val="superscript"/>
        <sz val="10"/>
        <color indexed="10"/>
        <rFont val="VNI-Times"/>
        <family val="0"/>
      </rPr>
      <t>2</t>
    </r>
    <r>
      <rPr>
        <b/>
        <sz val="10"/>
        <color indexed="10"/>
        <rFont val="VNI-Times"/>
        <family val="0"/>
      </rPr>
      <t>).</t>
    </r>
  </si>
  <si>
    <r>
      <t>Ma saùt beân coïc f</t>
    </r>
    <r>
      <rPr>
        <b/>
        <vertAlign val="subscript"/>
        <sz val="10"/>
        <color indexed="12"/>
        <rFont val="VNI-Times"/>
        <family val="0"/>
      </rPr>
      <t>s</t>
    </r>
    <r>
      <rPr>
        <b/>
        <sz val="10"/>
        <color indexed="12"/>
        <rFont val="VNI-Times"/>
        <family val="0"/>
      </rPr>
      <t xml:space="preserve"> (T/m</t>
    </r>
    <r>
      <rPr>
        <b/>
        <vertAlign val="superscript"/>
        <sz val="10"/>
        <color indexed="12"/>
        <rFont val="VNI-Times"/>
        <family val="0"/>
      </rPr>
      <t>2</t>
    </r>
    <r>
      <rPr>
        <b/>
        <sz val="10"/>
        <color indexed="12"/>
        <rFont val="VNI-Times"/>
        <family val="0"/>
      </rPr>
      <t>)</t>
    </r>
  </si>
  <si>
    <t xml:space="preserve">Ñoä saâu </t>
  </si>
  <si>
    <t>trung bình</t>
  </si>
  <si>
    <t>cuûa lôùp ñaát</t>
  </si>
  <si>
    <t>CHUÙ THÍCH CUÛA BAÛNG A1 VAØ A2</t>
  </si>
  <si>
    <r>
      <t>neân laáy möùc ñòa hình töï nhieân</t>
    </r>
    <r>
      <rPr>
        <sz val="10"/>
        <rFont val="VNI-Times"/>
        <family val="0"/>
      </rPr>
      <t xml:space="preserve">.Coøn khi goït boû hoaëc ñaép theâm daøy töø 3-10m thì laáy töø coát quy öôùc naèm cao hôn phaàn goït boû 3m hoaëc thaáp </t>
    </r>
  </si>
  <si>
    <t>hôn möùc ñaép 3m.</t>
  </si>
  <si>
    <t>Giôùi haïn chaûy(KG/cm2)</t>
  </si>
  <si>
    <t>Rc=</t>
  </si>
  <si>
    <t>(Giôùi haïn chaûy cuûa theùp)</t>
  </si>
  <si>
    <t>(Cöôøng ñoä tính toaùn cuûa beton coïc nhoài, khi beton ñoå trong nöôùc hay döôùi buøn)</t>
  </si>
  <si>
    <t>(cm) - Ñöôøng kính coïc.</t>
  </si>
  <si>
    <t xml:space="preserve">Vì ñoä saâu choân moùng cuûa moùng coïc raát lôùn so vôùi caïnh coïc d neân thaønh phaàn thöù 3 khaù beù so vôùi 2 thaønh phaàn </t>
  </si>
  <si>
    <t xml:space="preserve"> coøn laïi ta boû qua.Do ñoù  Cöôøng ñoä chòu taûi cuûa ñaát neàn döôùi muõi coïc xaùc ñònh theo coâng thöùc:</t>
  </si>
  <si>
    <r>
      <t>q</t>
    </r>
    <r>
      <rPr>
        <vertAlign val="subscript"/>
        <sz val="10"/>
        <rFont val="VNI-Times"/>
        <family val="0"/>
      </rPr>
      <t xml:space="preserve">p </t>
    </r>
    <r>
      <rPr>
        <sz val="10"/>
        <rFont val="VNI-Times"/>
        <family val="0"/>
      </rPr>
      <t>(T/m2): Cöôøng ñoä chòu taûi cuûa ñaát neàn ôû muõi coïc , tra baûng A7 phuï thuoäc ñoä saâu muõi coïc vaø chæ soá ñoä seät I</t>
    </r>
    <r>
      <rPr>
        <vertAlign val="subscript"/>
        <sz val="10"/>
        <rFont val="VNI-Times"/>
        <family val="0"/>
      </rPr>
      <t>L</t>
    </r>
    <r>
      <rPr>
        <sz val="10"/>
        <rFont val="VNI-Times"/>
        <family val="0"/>
      </rPr>
      <t xml:space="preserve"> ôû muõi coïc.</t>
    </r>
  </si>
  <si>
    <r>
      <t>m</t>
    </r>
    <r>
      <rPr>
        <vertAlign val="subscript"/>
        <sz val="10"/>
        <rFont val="VNI-Times"/>
        <family val="0"/>
      </rPr>
      <t>f</t>
    </r>
    <r>
      <rPr>
        <sz val="10"/>
        <rFont val="VNI-Times"/>
        <family val="0"/>
      </rPr>
      <t>=</t>
    </r>
  </si>
  <si>
    <t xml:space="preserve">XAÙC ÑÒNH SÖÙC CHÒU TAÛI CUÛA COÏC KHOAN NHOÀI.NEÀN ÑAÁT CAÙT </t>
  </si>
  <si>
    <r>
      <t>q</t>
    </r>
    <r>
      <rPr>
        <vertAlign val="subscript"/>
        <sz val="10"/>
        <rFont val="VNI-Times"/>
        <family val="0"/>
      </rPr>
      <t xml:space="preserve">p </t>
    </r>
    <r>
      <rPr>
        <sz val="10"/>
        <rFont val="VNI-Times"/>
        <family val="0"/>
      </rPr>
      <t>(T/m2): Cöôøng ñoä chòu taûi cuûa ñaát neàn ôû muõi coïc .</t>
    </r>
  </si>
  <si>
    <r>
      <t>b</t>
    </r>
    <r>
      <rPr>
        <sz val="10"/>
        <rFont val="VNI-Times"/>
        <family val="0"/>
      </rPr>
      <t>=</t>
    </r>
  </si>
  <si>
    <r>
      <t>a</t>
    </r>
    <r>
      <rPr>
        <sz val="10"/>
        <rFont val="VNI-Times"/>
        <family val="0"/>
      </rPr>
      <t>=</t>
    </r>
  </si>
  <si>
    <r>
      <t xml:space="preserve">Trong ñoù:caùc heä soá </t>
    </r>
    <r>
      <rPr>
        <sz val="10"/>
        <rFont val="Symbol"/>
        <family val="1"/>
      </rPr>
      <t>a</t>
    </r>
    <r>
      <rPr>
        <sz val="10"/>
        <rFont val="VNI-Times"/>
        <family val="0"/>
      </rPr>
      <t>,</t>
    </r>
    <r>
      <rPr>
        <sz val="10"/>
        <rFont val="Symbol"/>
        <family val="1"/>
      </rPr>
      <t>b</t>
    </r>
    <r>
      <rPr>
        <sz val="10"/>
        <rFont val="VNI-Times"/>
        <family val="0"/>
      </rPr>
      <t>, A</t>
    </r>
    <r>
      <rPr>
        <vertAlign val="superscript"/>
        <sz val="10"/>
        <rFont val="VNI-Times"/>
        <family val="0"/>
      </rPr>
      <t>o</t>
    </r>
    <r>
      <rPr>
        <vertAlign val="subscript"/>
        <sz val="10"/>
        <rFont val="VNI-Times"/>
        <family val="0"/>
      </rPr>
      <t>k</t>
    </r>
    <r>
      <rPr>
        <sz val="10"/>
        <rFont val="VNI-Times"/>
        <family val="0"/>
      </rPr>
      <t>,B</t>
    </r>
    <r>
      <rPr>
        <vertAlign val="superscript"/>
        <sz val="10"/>
        <rFont val="VNI-Times"/>
        <family val="0"/>
      </rPr>
      <t>o</t>
    </r>
    <r>
      <rPr>
        <vertAlign val="subscript"/>
        <sz val="10"/>
        <rFont val="VNI-Times"/>
        <family val="0"/>
      </rPr>
      <t>k</t>
    </r>
    <r>
      <rPr>
        <sz val="10"/>
        <rFont val="VNI-Times"/>
        <family val="0"/>
      </rPr>
      <t xml:space="preserve"> tra baûng A.6 phuï thuoäc goùc ma saùt trong</t>
    </r>
    <r>
      <rPr>
        <sz val="10"/>
        <rFont val="Symbol"/>
        <family val="1"/>
      </rPr>
      <t xml:space="preserve"> j</t>
    </r>
    <r>
      <rPr>
        <sz val="10"/>
        <rFont val="VNI-Times"/>
        <family val="0"/>
      </rPr>
      <t>, kích thöôùc coïc</t>
    </r>
  </si>
  <si>
    <r>
      <t xml:space="preserve"> A</t>
    </r>
    <r>
      <rPr>
        <vertAlign val="superscript"/>
        <sz val="10"/>
        <rFont val="VNI-Times"/>
        <family val="0"/>
      </rPr>
      <t>o</t>
    </r>
    <r>
      <rPr>
        <vertAlign val="subscript"/>
        <sz val="10"/>
        <rFont val="VNI-Times"/>
        <family val="0"/>
      </rPr>
      <t>k</t>
    </r>
    <r>
      <rPr>
        <sz val="10"/>
        <rFont val="VNI-Times"/>
        <family val="0"/>
      </rPr>
      <t>=</t>
    </r>
  </si>
  <si>
    <r>
      <t xml:space="preserve"> B</t>
    </r>
    <r>
      <rPr>
        <vertAlign val="superscript"/>
        <sz val="10"/>
        <rFont val="VNI-Times"/>
        <family val="0"/>
      </rPr>
      <t>o</t>
    </r>
    <r>
      <rPr>
        <vertAlign val="subscript"/>
        <sz val="10"/>
        <rFont val="VNI-Times"/>
        <family val="0"/>
      </rPr>
      <t>k</t>
    </r>
    <r>
      <rPr>
        <sz val="10"/>
        <rFont val="VNI-Times"/>
        <family val="0"/>
      </rPr>
      <t>=</t>
    </r>
  </si>
  <si>
    <t>L=</t>
  </si>
  <si>
    <t>(m) - Chieàu daøi coïc</t>
  </si>
  <si>
    <t>(T/m3) - Troïng löôïng theå tích ñaát ôû döôùi muõi coïc (Khi no nöôùc coù keå ñeán söï ñaåy noåi trong nöôùc)</t>
  </si>
  <si>
    <r>
      <t>g</t>
    </r>
    <r>
      <rPr>
        <vertAlign val="superscript"/>
        <sz val="10"/>
        <rFont val="Symbol"/>
        <family val="1"/>
      </rPr>
      <t xml:space="preserve"> </t>
    </r>
    <r>
      <rPr>
        <vertAlign val="superscript"/>
        <sz val="10"/>
        <rFont val="VNI-Times"/>
        <family val="0"/>
      </rPr>
      <t>'</t>
    </r>
    <r>
      <rPr>
        <vertAlign val="subscript"/>
        <sz val="10"/>
        <rFont val="VNI-Times"/>
        <family val="0"/>
      </rPr>
      <t xml:space="preserve"> I</t>
    </r>
    <r>
      <rPr>
        <sz val="10"/>
        <rFont val="VNI-Times"/>
        <family val="0"/>
      </rPr>
      <t>=</t>
    </r>
  </si>
  <si>
    <r>
      <t>g</t>
    </r>
    <r>
      <rPr>
        <vertAlign val="superscript"/>
        <sz val="10"/>
        <rFont val="Symbol"/>
        <family val="1"/>
      </rPr>
      <t xml:space="preserve"> </t>
    </r>
    <r>
      <rPr>
        <vertAlign val="subscript"/>
        <sz val="10"/>
        <rFont val="VNI-Times"/>
        <family val="0"/>
      </rPr>
      <t xml:space="preserve"> I</t>
    </r>
    <r>
      <rPr>
        <sz val="10"/>
        <rFont val="VNI-Times"/>
        <family val="0"/>
      </rPr>
      <t>=</t>
    </r>
  </si>
  <si>
    <t>muõi coïc (Khi no nöôùc coù keå ñeán söï ñaåy noåi trong nöôùc)</t>
  </si>
  <si>
    <t xml:space="preserve">(T/m3) - Trò tính toaùn trung bình(theo caùc lôùp) cuûa troïng löôïng theå tích ñaát ôû phía treân </t>
  </si>
  <si>
    <r>
      <t>d</t>
    </r>
    <r>
      <rPr>
        <vertAlign val="subscript"/>
        <sz val="10"/>
        <rFont val="VNI-Times"/>
        <family val="0"/>
      </rPr>
      <t>p</t>
    </r>
    <r>
      <rPr>
        <sz val="10"/>
        <rFont val="VNI-Times"/>
        <family val="0"/>
      </rPr>
      <t>=</t>
    </r>
  </si>
  <si>
    <t>(m) - Ñöôøng kính  coïc</t>
  </si>
  <si>
    <t>XAÙC ÑÒNH SÖÙC CHÒU TAÛI CUÛA COÏC KHOAN NHOÀI.NEÀN ÑAÁT SEÙT.</t>
  </si>
  <si>
    <t xml:space="preserve"> Vaäy söùc chòu taûi cuûa coïc xaùc ñònh theo chæ tieâu cô lyù cuûa ñaát neàn</t>
  </si>
  <si>
    <t>Keát luaän: söùc chòu taûi cuûa coïc choïn ñeå tính toaùn moùng.</t>
  </si>
  <si>
    <r>
      <t>Q</t>
    </r>
    <r>
      <rPr>
        <b/>
        <vertAlign val="subscript"/>
        <sz val="10"/>
        <rFont val="VNI-Times"/>
        <family val="0"/>
      </rPr>
      <t>c</t>
    </r>
    <r>
      <rPr>
        <b/>
        <sz val="10"/>
        <rFont val="VNI-Times"/>
        <family val="0"/>
      </rPr>
      <t>=</t>
    </r>
  </si>
  <si>
    <t>(H.soá laøm vieäc cuûa ñaát ôû maët beân coïc coù keå ñeán aûnh höôûng p.phaùp haï coïc,tra baûng A5 )</t>
  </si>
  <si>
    <t xml:space="preserve">    -  Ñöôøng kính coïc d = </t>
  </si>
  <si>
    <t xml:space="preserve">    -  Khoaûng caùch caùc coïc boá trí trong ñaøi laø d +1m  = </t>
  </si>
  <si>
    <r>
      <t>P</t>
    </r>
    <r>
      <rPr>
        <vertAlign val="superscript"/>
        <sz val="10"/>
        <rFont val="VNI-Times"/>
        <family val="0"/>
      </rPr>
      <t>tt</t>
    </r>
    <r>
      <rPr>
        <sz val="10"/>
        <rFont val="VNI-Times"/>
        <family val="0"/>
      </rPr>
      <t xml:space="preserve"> = Q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 / ( d+1)</t>
    </r>
    <r>
      <rPr>
        <vertAlign val="superscript"/>
        <sz val="10"/>
        <rFont val="VNI-Times"/>
        <family val="0"/>
      </rPr>
      <t xml:space="preserve">2 </t>
    </r>
    <r>
      <rPr>
        <sz val="10"/>
        <rFont val="VNI-Times"/>
        <family val="0"/>
      </rPr>
      <t>=</t>
    </r>
  </si>
  <si>
    <r>
      <t>N</t>
    </r>
    <r>
      <rPr>
        <vertAlign val="subscript"/>
        <sz val="10"/>
        <rFont val="VNI-Times"/>
        <family val="0"/>
      </rPr>
      <t xml:space="preserve">ñ </t>
    </r>
    <r>
      <rPr>
        <sz val="10"/>
        <rFont val="VNI-Times"/>
        <family val="0"/>
      </rPr>
      <t>= 1.1F</t>
    </r>
    <r>
      <rPr>
        <vertAlign val="subscript"/>
        <sz val="10"/>
        <rFont val="VNI-Times"/>
        <family val="0"/>
      </rPr>
      <t>ñ</t>
    </r>
    <r>
      <rPr>
        <sz val="10"/>
        <rFont val="VNI-Times"/>
        <family val="0"/>
      </rPr>
      <t xml:space="preserve"> D</t>
    </r>
    <r>
      <rPr>
        <vertAlign val="subscript"/>
        <sz val="10"/>
        <rFont val="VNI-Times"/>
        <family val="0"/>
      </rPr>
      <t>f</t>
    </r>
    <r>
      <rPr>
        <sz val="10"/>
        <rFont val="VNI-Times"/>
        <family val="0"/>
      </rPr>
      <t xml:space="preserve"> </t>
    </r>
    <r>
      <rPr>
        <sz val="10"/>
        <rFont val="Symbol"/>
        <family val="1"/>
      </rPr>
      <t>g</t>
    </r>
    <r>
      <rPr>
        <vertAlign val="subscript"/>
        <sz val="10"/>
        <rFont val="VNI-Times"/>
        <family val="0"/>
      </rPr>
      <t xml:space="preserve">tb </t>
    </r>
    <r>
      <rPr>
        <sz val="10"/>
        <rFont val="VNI-Times"/>
        <family val="0"/>
      </rPr>
      <t>=</t>
    </r>
  </si>
  <si>
    <t>TCVN 5574/1991</t>
  </si>
  <si>
    <t>Yeâu caàu kyõ thuaät :</t>
  </si>
  <si>
    <t>1.Ñaàu coïc ngaøm vaøo ñaøi coïc toái thieåu 20cm.</t>
  </si>
  <si>
    <r>
      <t>h</t>
    </r>
    <r>
      <rPr>
        <b/>
        <vertAlign val="subscript"/>
        <sz val="10"/>
        <rFont val="VNI-Times"/>
        <family val="0"/>
      </rPr>
      <t>o</t>
    </r>
    <r>
      <rPr>
        <b/>
        <sz val="10"/>
        <rFont val="VNI-Times"/>
        <family val="0"/>
      </rPr>
      <t xml:space="preserve"> = h</t>
    </r>
    <r>
      <rPr>
        <b/>
        <vertAlign val="subscript"/>
        <sz val="10"/>
        <rFont val="VNI-Times"/>
        <family val="0"/>
      </rPr>
      <t>ñ</t>
    </r>
    <r>
      <rPr>
        <b/>
        <sz val="10"/>
        <rFont val="VNI-Times"/>
        <family val="0"/>
      </rPr>
      <t xml:space="preserve"> -20cm</t>
    </r>
  </si>
  <si>
    <t>Xeùt maët ngaøm</t>
  </si>
  <si>
    <t>theo phöông</t>
  </si>
  <si>
    <t>KIEÅM TRA COÁT THEÙP DOÏC TRONG COÏC BTCT KHI VAÄN CHUYEÅN VAØ LAÉP DÖÏNG</t>
  </si>
  <si>
    <r>
      <t xml:space="preserve"> 2. - Ñoái vôùi </t>
    </r>
    <r>
      <rPr>
        <b/>
        <sz val="10"/>
        <rFont val="VNI-Times"/>
        <family val="0"/>
      </rPr>
      <t>"ñaát rôøi"</t>
    </r>
    <r>
      <rPr>
        <sz val="10"/>
        <rFont val="VNI-Times"/>
        <family val="0"/>
      </rPr>
      <t xml:space="preserve">, cöôøng ñoä chòu taûi döôùi muõi coïc vaø ma saùt beân taùc duïng leân coïc ôû nhöõng ñoä saâu loán hôn ñoä </t>
    </r>
  </si>
  <si>
    <t>saâu giôùi haïn Zc(m),thì ñöôïc laáy baèng giaù trò töông öùng ôû ñoä saâu giôùi haïn.Nghóa laø:</t>
  </si>
  <si>
    <r>
      <t xml:space="preserve">s </t>
    </r>
    <r>
      <rPr>
        <vertAlign val="superscript"/>
        <sz val="10"/>
        <rFont val="VNI-Times"/>
        <family val="0"/>
      </rPr>
      <t>tc</t>
    </r>
    <r>
      <rPr>
        <vertAlign val="subscript"/>
        <sz val="10"/>
        <rFont val="VNI-Times"/>
        <family val="0"/>
      </rPr>
      <t>tb</t>
    </r>
    <r>
      <rPr>
        <sz val="10"/>
        <rFont val="VNI-Times"/>
        <family val="0"/>
      </rPr>
      <t xml:space="preserve">   </t>
    </r>
    <r>
      <rPr>
        <vertAlign val="subscript"/>
        <sz val="10"/>
        <rFont val="VNI-Times"/>
        <family val="0"/>
      </rPr>
      <t xml:space="preserve"> </t>
    </r>
    <r>
      <rPr>
        <sz val="10"/>
        <rFont val="VNI-Times"/>
        <family val="0"/>
      </rPr>
      <t xml:space="preserve">     = </t>
    </r>
  </si>
  <si>
    <r>
      <t>å</t>
    </r>
    <r>
      <rPr>
        <sz val="10"/>
        <rFont val="VNI-Times"/>
        <family val="0"/>
      </rPr>
      <t>h</t>
    </r>
    <r>
      <rPr>
        <vertAlign val="subscript"/>
        <sz val="10"/>
        <rFont val="VNI-Times"/>
        <family val="0"/>
      </rPr>
      <t>i</t>
    </r>
    <r>
      <rPr>
        <sz val="10"/>
        <rFont val="Symbol"/>
        <family val="1"/>
      </rPr>
      <t>g</t>
    </r>
    <r>
      <rPr>
        <vertAlign val="subscript"/>
        <sz val="10"/>
        <rFont val="VNI-Times"/>
        <family val="0"/>
      </rPr>
      <t>i</t>
    </r>
    <r>
      <rPr>
        <sz val="10"/>
        <rFont val="VNI-Times"/>
        <family val="0"/>
      </rPr>
      <t xml:space="preserve">   </t>
    </r>
    <r>
      <rPr>
        <sz val="10"/>
        <rFont val="VNI-Times"/>
        <family val="0"/>
      </rPr>
      <t xml:space="preserve">    = </t>
    </r>
  </si>
  <si>
    <t>B</t>
  </si>
  <si>
    <t xml:space="preserve">  + Chieàu daøi coïc L =</t>
  </si>
  <si>
    <t>(m).</t>
  </si>
  <si>
    <t xml:space="preserve">  + Caïnh coïc d =</t>
  </si>
  <si>
    <t xml:space="preserve">  + Momen M =</t>
  </si>
  <si>
    <t xml:space="preserve">  + Löïc ngang H =</t>
  </si>
  <si>
    <t xml:space="preserve">  +  Eb =</t>
  </si>
  <si>
    <t xml:space="preserve">  + Maùc beton:</t>
  </si>
  <si>
    <t>(KG/cm2).</t>
  </si>
  <si>
    <t xml:space="preserve">  + Loaïi theùp:</t>
  </si>
  <si>
    <t xml:space="preserve">  +  Ea =</t>
  </si>
  <si>
    <t xml:space="preserve">  +  Ra =</t>
  </si>
  <si>
    <t xml:space="preserve">  +  Rn =</t>
  </si>
  <si>
    <t>1-Caùc thoâng soá veà coïc:</t>
  </si>
  <si>
    <t>2- Taûi troïng :</t>
  </si>
  <si>
    <t>3- Tính toaùn:</t>
  </si>
  <si>
    <t>Momen tính toaùn tieát dieän ngang cuûa coïc:</t>
  </si>
  <si>
    <t>I =</t>
  </si>
  <si>
    <t xml:space="preserve">  + Loaïi coïc :</t>
  </si>
  <si>
    <t>( V - coïc vuoâng ; T- coïc troøn)</t>
  </si>
  <si>
    <t>(m4)</t>
  </si>
  <si>
    <t>Ñoä cöùng tieát dieän ngang cuûa coïc:</t>
  </si>
  <si>
    <r>
      <t>E</t>
    </r>
    <r>
      <rPr>
        <vertAlign val="subscript"/>
        <sz val="10"/>
        <rFont val="VNI-Times"/>
        <family val="0"/>
      </rPr>
      <t>b</t>
    </r>
    <r>
      <rPr>
        <sz val="10"/>
        <rFont val="VNI-Times"/>
        <family val="0"/>
      </rPr>
      <t>I =</t>
    </r>
  </si>
  <si>
    <t>(T.m2)</t>
  </si>
  <si>
    <t>Chieàu roäng quy öôùc cuûa coïc:</t>
  </si>
  <si>
    <r>
      <t>b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=</t>
    </r>
  </si>
  <si>
    <t>Heä soá tyû leä K -tra baûng G1 tuyeån taäp TCXDVN :205-1998.</t>
  </si>
  <si>
    <t>K =</t>
  </si>
  <si>
    <t>(T/m4)</t>
  </si>
  <si>
    <t>Heä soá bieán daïng:</t>
  </si>
  <si>
    <r>
      <t>a</t>
    </r>
    <r>
      <rPr>
        <vertAlign val="subscript"/>
        <sz val="10"/>
        <rFont val="VNI-Times"/>
        <family val="0"/>
      </rPr>
      <t>bd</t>
    </r>
    <r>
      <rPr>
        <sz val="10"/>
        <rFont val="VNI-Times"/>
        <family val="0"/>
      </rPr>
      <t xml:space="preserve"> =</t>
    </r>
  </si>
  <si>
    <r>
      <t>(m</t>
    </r>
    <r>
      <rPr>
        <vertAlign val="superscript"/>
        <sz val="10"/>
        <rFont val="VNI-Times"/>
        <family val="0"/>
      </rPr>
      <t>-1</t>
    </r>
    <r>
      <rPr>
        <sz val="10"/>
        <rFont val="VNI-Times"/>
        <family val="0"/>
      </rPr>
      <t>)</t>
    </r>
  </si>
  <si>
    <t>Chieàu daøi tính ñoåi cuûa coïc trong ñaát:</t>
  </si>
  <si>
    <r>
      <t>L</t>
    </r>
    <r>
      <rPr>
        <vertAlign val="subscript"/>
        <sz val="10"/>
        <rFont val="VNI-Times"/>
        <family val="0"/>
      </rPr>
      <t>c</t>
    </r>
    <r>
      <rPr>
        <sz val="10"/>
        <rFont val="VNI-Times"/>
        <family val="0"/>
      </rPr>
      <t xml:space="preserve"> =</t>
    </r>
  </si>
  <si>
    <r>
      <t>(m</t>
    </r>
    <r>
      <rPr>
        <sz val="10"/>
        <rFont val="VNI-Times"/>
        <family val="0"/>
      </rPr>
      <t>)</t>
    </r>
  </si>
  <si>
    <t>Caùc heä soá khoâng thöù nguyeân tra baûng G2 -tuyeån taäp TCXDVN:205-1998.</t>
  </si>
  <si>
    <r>
      <t>A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</t>
    </r>
  </si>
  <si>
    <r>
      <t>B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</t>
    </r>
  </si>
  <si>
    <r>
      <t>C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</t>
    </r>
  </si>
  <si>
    <t>Caùc chuyeån vò ngang taïi cao trình maët ñaát do öùng löïc ñôn vò ñaët taïi cao trình naøy.</t>
  </si>
  <si>
    <t>SÖÙC CHÒU TAÛI NGANG CUÛA COÏC - TCXDVN 205-1998.</t>
  </si>
  <si>
    <r>
      <t>d</t>
    </r>
    <r>
      <rPr>
        <vertAlign val="subscript"/>
        <sz val="10"/>
        <rFont val="VNI-Times"/>
        <family val="0"/>
      </rPr>
      <t>HH</t>
    </r>
    <r>
      <rPr>
        <sz val="10"/>
        <rFont val="VNI-Times"/>
        <family val="0"/>
      </rPr>
      <t xml:space="preserve"> =</t>
    </r>
  </si>
  <si>
    <t>(m/T)</t>
  </si>
  <si>
    <r>
      <t>d</t>
    </r>
    <r>
      <rPr>
        <vertAlign val="subscript"/>
        <sz val="10"/>
        <rFont val="VNI-Times"/>
        <family val="0"/>
      </rPr>
      <t>MH</t>
    </r>
    <r>
      <rPr>
        <sz val="10"/>
        <rFont val="VNI-Times"/>
        <family val="0"/>
      </rPr>
      <t xml:space="preserve"> = </t>
    </r>
    <r>
      <rPr>
        <sz val="10"/>
        <rFont val="Symbol"/>
        <family val="1"/>
      </rPr>
      <t>d</t>
    </r>
    <r>
      <rPr>
        <vertAlign val="subscript"/>
        <sz val="10"/>
        <rFont val="VNI-Times"/>
        <family val="0"/>
      </rPr>
      <t>HM</t>
    </r>
    <r>
      <rPr>
        <sz val="10"/>
        <rFont val="VNI-Times"/>
        <family val="0"/>
      </rPr>
      <t xml:space="preserve"> =</t>
    </r>
  </si>
  <si>
    <r>
      <t>(T</t>
    </r>
    <r>
      <rPr>
        <vertAlign val="superscript"/>
        <sz val="10"/>
        <rFont val="VNI-Times"/>
        <family val="0"/>
      </rPr>
      <t>-1</t>
    </r>
    <r>
      <rPr>
        <sz val="10"/>
        <rFont val="VNI-Times"/>
        <family val="0"/>
      </rPr>
      <t>)</t>
    </r>
  </si>
  <si>
    <r>
      <t>d</t>
    </r>
    <r>
      <rPr>
        <vertAlign val="subscript"/>
        <sz val="10"/>
        <rFont val="VNI-Times"/>
        <family val="0"/>
      </rPr>
      <t>MM</t>
    </r>
    <r>
      <rPr>
        <sz val="10"/>
        <rFont val="VNI-Times"/>
        <family val="0"/>
      </rPr>
      <t xml:space="preserve"> =</t>
    </r>
  </si>
  <si>
    <r>
      <t>(m</t>
    </r>
    <r>
      <rPr>
        <vertAlign val="superscript"/>
        <sz val="10"/>
        <rFont val="VNI-Times"/>
        <family val="0"/>
      </rPr>
      <t>-1</t>
    </r>
    <r>
      <rPr>
        <sz val="10"/>
        <rFont val="VNI-Times"/>
        <family val="0"/>
      </rPr>
      <t>T</t>
    </r>
    <r>
      <rPr>
        <vertAlign val="superscript"/>
        <sz val="10"/>
        <rFont val="VNI-Times"/>
        <family val="0"/>
      </rPr>
      <t>-1</t>
    </r>
    <r>
      <rPr>
        <sz val="10"/>
        <rFont val="VNI-Times"/>
        <family val="0"/>
      </rPr>
      <t>)</t>
    </r>
  </si>
  <si>
    <t>Chuyeån vò ngang taïi cao trình maët ñaát .</t>
  </si>
  <si>
    <r>
      <t>y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</t>
    </r>
  </si>
  <si>
    <t>Goùc xoay taïi cao trình maët ñaát .</t>
  </si>
  <si>
    <r>
      <t>Y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</t>
    </r>
  </si>
  <si>
    <t>V</t>
  </si>
  <si>
    <t>Chuyeån vò ngang taïi cao trình ñaùy ñaøi.</t>
  </si>
  <si>
    <t>Goùc xoay taïi cao trình ñaùy ñaøi.</t>
  </si>
  <si>
    <r>
      <t>D</t>
    </r>
    <r>
      <rPr>
        <vertAlign val="subscript"/>
        <sz val="10"/>
        <rFont val="VNI-Times"/>
        <family val="0"/>
      </rPr>
      <t>n</t>
    </r>
    <r>
      <rPr>
        <sz val="10"/>
        <rFont val="VNI-Times"/>
        <family val="0"/>
      </rPr>
      <t xml:space="preserve"> =</t>
    </r>
  </si>
  <si>
    <r>
      <t>Y</t>
    </r>
    <r>
      <rPr>
        <sz val="10"/>
        <rFont val="VNI-Times"/>
        <family val="0"/>
      </rPr>
      <t xml:space="preserve"> =</t>
    </r>
  </si>
  <si>
    <r>
      <t>l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</t>
    </r>
  </si>
  <si>
    <t xml:space="preserve">   -  Chieàu daøi ñoaïn coïc (m), tính töø ñaùy ñaøi ñeán maët ñaát.</t>
  </si>
  <si>
    <r>
      <t xml:space="preserve">    y</t>
    </r>
    <r>
      <rPr>
        <i/>
        <vertAlign val="subscript"/>
        <sz val="10"/>
        <rFont val="VNI-Times"/>
        <family val="0"/>
      </rPr>
      <t>o</t>
    </r>
    <r>
      <rPr>
        <i/>
        <sz val="10"/>
        <rFont val="VNI-Times"/>
        <family val="0"/>
      </rPr>
      <t xml:space="preserve"> ,</t>
    </r>
    <r>
      <rPr>
        <i/>
        <sz val="10"/>
        <rFont val="Symbol"/>
        <family val="1"/>
      </rPr>
      <t>Y</t>
    </r>
    <r>
      <rPr>
        <i/>
        <vertAlign val="subscript"/>
        <sz val="10"/>
        <rFont val="VNI-Times"/>
        <family val="0"/>
      </rPr>
      <t>o</t>
    </r>
    <r>
      <rPr>
        <i/>
        <sz val="10"/>
        <rFont val="VNI-Times"/>
        <family val="0"/>
      </rPr>
      <t xml:space="preserve"> :chuyeån vò ngang (m), vaø goùc xoay (rad) cuûa tieát dieän ngang coïc ôû maët ñaát vôùi coïc ñaøi cao</t>
    </r>
  </si>
  <si>
    <t xml:space="preserve"> ôû möùc ñaùy ñaøi vôùi coïc ñaøi thaáp.</t>
  </si>
  <si>
    <t xml:space="preserve">Ñoä saâu z </t>
  </si>
  <si>
    <r>
      <t>z</t>
    </r>
    <r>
      <rPr>
        <vertAlign val="subscript"/>
        <sz val="10"/>
        <rFont val="VNI-Times"/>
        <family val="0"/>
      </rPr>
      <t>e</t>
    </r>
  </si>
  <si>
    <r>
      <t>A</t>
    </r>
    <r>
      <rPr>
        <vertAlign val="subscript"/>
        <sz val="10"/>
        <rFont val="VNI-Times"/>
        <family val="0"/>
      </rPr>
      <t>1</t>
    </r>
  </si>
  <si>
    <r>
      <t>B</t>
    </r>
    <r>
      <rPr>
        <vertAlign val="subscript"/>
        <sz val="10"/>
        <rFont val="VNI-Times"/>
        <family val="0"/>
      </rPr>
      <t>1</t>
    </r>
  </si>
  <si>
    <r>
      <t>C</t>
    </r>
    <r>
      <rPr>
        <vertAlign val="subscript"/>
        <sz val="10"/>
        <rFont val="VNI-Times"/>
        <family val="0"/>
      </rPr>
      <t>1</t>
    </r>
  </si>
  <si>
    <r>
      <t>D</t>
    </r>
    <r>
      <rPr>
        <vertAlign val="subscript"/>
        <sz val="10"/>
        <rFont val="VNI-Times"/>
        <family val="0"/>
      </rPr>
      <t>1</t>
    </r>
  </si>
  <si>
    <r>
      <t xml:space="preserve">BAÛNG TÍNH AÙP LÖÏC TÍNH TOAÙN </t>
    </r>
    <r>
      <rPr>
        <b/>
        <sz val="10"/>
        <rFont val="Symbol"/>
        <family val="1"/>
      </rPr>
      <t>s</t>
    </r>
    <r>
      <rPr>
        <b/>
        <vertAlign val="subscript"/>
        <sz val="10"/>
        <rFont val="VNI-Times"/>
        <family val="0"/>
      </rPr>
      <t>z</t>
    </r>
    <r>
      <rPr>
        <b/>
        <sz val="10"/>
        <rFont val="VNI-Times"/>
        <family val="0"/>
      </rPr>
      <t xml:space="preserve"> (T/m</t>
    </r>
    <r>
      <rPr>
        <b/>
        <vertAlign val="superscript"/>
        <sz val="10"/>
        <rFont val="VNI-Times"/>
        <family val="0"/>
      </rPr>
      <t>2</t>
    </r>
    <r>
      <rPr>
        <b/>
        <sz val="10"/>
        <rFont val="VNI-Times"/>
        <family val="0"/>
      </rPr>
      <t>),MOMEN M</t>
    </r>
    <r>
      <rPr>
        <b/>
        <vertAlign val="subscript"/>
        <sz val="10"/>
        <rFont val="VNI-Times"/>
        <family val="0"/>
      </rPr>
      <t>z</t>
    </r>
    <r>
      <rPr>
        <b/>
        <sz val="10"/>
        <rFont val="VNI-Times"/>
        <family val="0"/>
      </rPr>
      <t xml:space="preserve"> (T.m), LÖÏC CAÉT Q</t>
    </r>
    <r>
      <rPr>
        <b/>
        <vertAlign val="subscript"/>
        <sz val="10"/>
        <rFont val="VNI-Times"/>
        <family val="0"/>
      </rPr>
      <t>z</t>
    </r>
    <r>
      <rPr>
        <b/>
        <sz val="10"/>
        <rFont val="VNI-Times"/>
        <family val="0"/>
      </rPr>
      <t xml:space="preserve"> (T).</t>
    </r>
  </si>
  <si>
    <r>
      <t xml:space="preserve"> </t>
    </r>
    <r>
      <rPr>
        <sz val="10"/>
        <rFont val="Symbol"/>
        <family val="1"/>
      </rPr>
      <t>s</t>
    </r>
    <r>
      <rPr>
        <vertAlign val="subscript"/>
        <sz val="10"/>
        <rFont val="VNI-Times"/>
        <family val="0"/>
      </rPr>
      <t>z</t>
    </r>
    <r>
      <rPr>
        <sz val="10"/>
        <rFont val="VNI-Times"/>
        <family val="0"/>
      </rPr>
      <t xml:space="preserve"> </t>
    </r>
  </si>
  <si>
    <r>
      <t>(Vôùi h</t>
    </r>
    <r>
      <rPr>
        <vertAlign val="subscript"/>
        <sz val="10"/>
        <rFont val="VNI-Times"/>
        <family val="0"/>
      </rPr>
      <t>o</t>
    </r>
    <r>
      <rPr>
        <sz val="10"/>
        <rFont val="VNI-Times"/>
        <family val="0"/>
      </rPr>
      <t xml:space="preserve"> = h</t>
    </r>
    <r>
      <rPr>
        <vertAlign val="subscript"/>
        <sz val="10"/>
        <rFont val="VNI-Times"/>
        <family val="0"/>
      </rPr>
      <t>ñ</t>
    </r>
    <r>
      <rPr>
        <sz val="10"/>
        <rFont val="VNI-Times"/>
        <family val="0"/>
      </rPr>
      <t xml:space="preserve"> -15cm)</t>
    </r>
  </si>
  <si>
    <t>1.Ñaàu coïc ngaøm vaøo ñaøi coïc toái thieåu 15cm.</t>
  </si>
  <si>
    <r>
      <t>h</t>
    </r>
    <r>
      <rPr>
        <b/>
        <vertAlign val="subscript"/>
        <sz val="10"/>
        <rFont val="VNI-Times"/>
        <family val="0"/>
      </rPr>
      <t>o</t>
    </r>
    <r>
      <rPr>
        <b/>
        <sz val="10"/>
        <rFont val="VNI-Times"/>
        <family val="0"/>
      </rPr>
      <t xml:space="preserve"> = h</t>
    </r>
    <r>
      <rPr>
        <b/>
        <vertAlign val="subscript"/>
        <sz val="10"/>
        <rFont val="VNI-Times"/>
        <family val="0"/>
      </rPr>
      <t>ñ</t>
    </r>
    <r>
      <rPr>
        <b/>
        <sz val="10"/>
        <rFont val="VNI-Times"/>
        <family val="0"/>
      </rPr>
      <t xml:space="preserve"> -15cm</t>
    </r>
  </si>
  <si>
    <t>COCNHOI.XLS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</si>
  <si>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</si>
  <si>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</si>
  <si>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</si>
  <si>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</si>
  <si>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</si>
  <si>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</si>
  <si>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</si>
  <si>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</si>
  <si>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</si>
  <si>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</si>
  <si>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</si>
  <si>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</si>
  <si>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 xml:space="preserve">  2. Taûi troïng q(T/m) :</t>
    </r>
    <r>
      <rPr>
        <sz val="10"/>
        <rFont val="VNI-Times"/>
        <family val="0"/>
      </rPr>
      <t>laø troïng löôïng baûn thaân coïc keå theâm heä soá ñoäng khi vaän chuyeån laø 1.5</t>
    </r>
  </si>
  <si>
    <r>
      <t xml:space="preserve">  q = 1.5  (d/100)</t>
    </r>
    <r>
      <rPr>
        <vertAlign val="superscript"/>
        <sz val="10"/>
        <rFont val="VNI-Times"/>
        <family val="0"/>
      </rPr>
      <t xml:space="preserve">2 </t>
    </r>
    <r>
      <rPr>
        <sz val="10"/>
        <rFont val="Symbol"/>
        <family val="1"/>
      </rPr>
      <t>g</t>
    </r>
    <r>
      <rPr>
        <vertAlign val="subscript"/>
        <sz val="10"/>
        <rFont val="VNI-Times"/>
        <family val="0"/>
      </rPr>
      <t>bt</t>
    </r>
    <r>
      <rPr>
        <sz val="10"/>
        <rFont val="VNI-Times"/>
        <family val="0"/>
      </rPr>
      <t xml:space="preserve"> =</t>
    </r>
  </si>
  <si>
    <t>(Tm)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</si>
</sst>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"/>
    <numFmt numFmtId="171" formatCode="0.000000000"/>
    <numFmt numFmtId="172" formatCode="0.00000000"/>
    <numFmt numFmtId="173" formatCode="0.0%"/>
    <numFmt numFmtId="174" formatCode="0.000%"/>
    <numFmt numFmtId="175" formatCode="_(* #,##0_);_(* \(#,##0\);_(* &quot;-&quot;??_);_(@_)"/>
    <numFmt numFmtId="176" formatCode="0.00000000000"/>
    <numFmt numFmtId="177" formatCode="#,##0.000"/>
    <numFmt numFmtId="178" formatCode="#,##0.0"/>
    <numFmt numFmtId="179" formatCode="#,##0.0000"/>
    <numFmt numFmtId="180" formatCode="#,##0.00000"/>
    <numFmt numFmtId="181" formatCode="#,##0;[Red]#,##0"/>
    <numFmt numFmtId="182" formatCode="#,##0.0;[Red]#,##0.0"/>
    <numFmt numFmtId="183" formatCode="#,##0.00;[Red]#,##0.00"/>
    <numFmt numFmtId="184" formatCode="#,##0.000;[Red]#,##0.000"/>
    <numFmt numFmtId="185" formatCode="0_);[Red]\(0\)"/>
    <numFmt numFmtId="186" formatCode="mm/yyyy"/>
    <numFmt numFmtId="187" formatCode="_ &quot;$&quot;* #,##0_ ;_ &quot;$&quot;* \-#,##0_ ;_ &quot;$&quot;* &quot;-&quot;_ ;_ @_ "/>
    <numFmt numFmtId="188" formatCode="_ * #,##0_ ;_ * \-#,##0_ ;_ * &quot;-&quot;_ ;_ @_ "/>
    <numFmt numFmtId="189" formatCode="_ &quot;$&quot;* #,##0.00_ ;_ &quot;$&quot;* \-#,##0.00_ ;_ &quot;$&quot;* &quot;-&quot;??_ ;_ @_ "/>
    <numFmt numFmtId="190" formatCode="_ * #,##0.00_ ;_ * \-#,##0.00_ ;_ * &quot;-&quot;??_ ;_ @_ "/>
    <numFmt numFmtId="191" formatCode="&quot;\&quot;#,##0.00;[Red]\-&quot;\&quot;#,##0.00"/>
    <numFmt numFmtId="192" formatCode="&quot;\&quot;#,##0;[Red]&quot;\&quot;\-#,##0"/>
    <numFmt numFmtId="193" formatCode="&quot;\&quot;#,##0.00;[Red]&quot;\&quot;\-#,##0.00"/>
    <numFmt numFmtId="194" formatCode="\$#,##0.00\ ;\(\$#,##0.00\)"/>
    <numFmt numFmtId="195" formatCode="\$#,##0\ ;\(\$#,##0\)"/>
    <numFmt numFmtId="196" formatCode="_(* #,##0.0_);_(* \(#,##0.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52">
    <font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vertAlign val="superscript"/>
      <sz val="10"/>
      <name val="VNI-Times"/>
      <family val="0"/>
    </font>
    <font>
      <vertAlign val="subscript"/>
      <sz val="10"/>
      <name val="VNI-Times"/>
      <family val="0"/>
    </font>
    <font>
      <sz val="10"/>
      <name val="Symbol"/>
      <family val="1"/>
    </font>
    <font>
      <b/>
      <sz val="10"/>
      <color indexed="10"/>
      <name val="VNI-Times"/>
      <family val="0"/>
    </font>
    <font>
      <sz val="10"/>
      <color indexed="10"/>
      <name val="VNI-Times"/>
      <family val="0"/>
    </font>
    <font>
      <b/>
      <vertAlign val="superscript"/>
      <sz val="10"/>
      <name val="VNI-Times"/>
      <family val="0"/>
    </font>
    <font>
      <b/>
      <vertAlign val="subscript"/>
      <sz val="10"/>
      <name val="VNI-Times"/>
      <family val="0"/>
    </font>
    <font>
      <b/>
      <i/>
      <u val="single"/>
      <sz val="10"/>
      <name val="VNI-Times"/>
      <family val="0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vertAlign val="subscript"/>
      <sz val="10"/>
      <color indexed="10"/>
      <name val="VNI-Times"/>
      <family val="0"/>
    </font>
    <font>
      <b/>
      <vertAlign val="superscript"/>
      <sz val="10"/>
      <color indexed="10"/>
      <name val="VNI-Times"/>
      <family val="0"/>
    </font>
    <font>
      <b/>
      <u val="single"/>
      <sz val="10"/>
      <name val="VNI-Times"/>
      <family val="0"/>
    </font>
    <font>
      <sz val="10"/>
      <color indexed="8"/>
      <name val="VNI-Times"/>
      <family val="0"/>
    </font>
    <font>
      <vertAlign val="superscript"/>
      <sz val="10"/>
      <name val="Symbol"/>
      <family val="1"/>
    </font>
    <font>
      <b/>
      <sz val="10"/>
      <color indexed="12"/>
      <name val="VNI-Times"/>
      <family val="0"/>
    </font>
    <font>
      <b/>
      <vertAlign val="subscript"/>
      <sz val="10"/>
      <color indexed="12"/>
      <name val="VNI-Times"/>
      <family val="0"/>
    </font>
    <font>
      <b/>
      <sz val="10"/>
      <color indexed="12"/>
      <name val="Symbol"/>
      <family val="1"/>
    </font>
    <font>
      <b/>
      <vertAlign val="superscript"/>
      <sz val="10"/>
      <color indexed="12"/>
      <name val="VNI-Times"/>
      <family val="0"/>
    </font>
    <font>
      <i/>
      <sz val="10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bscript"/>
      <sz val="10"/>
      <name val="VNI-Times"/>
      <family val="0"/>
    </font>
    <font>
      <i/>
      <vertAlign val="superscript"/>
      <sz val="10"/>
      <name val="VNI-Times"/>
      <family val="0"/>
    </font>
    <font>
      <b/>
      <i/>
      <sz val="10"/>
      <name val="VNI-Times"/>
      <family val="0"/>
    </font>
    <font>
      <b/>
      <sz val="10"/>
      <color indexed="8"/>
      <name val="VNI-Times"/>
      <family val="0"/>
    </font>
    <font>
      <sz val="10"/>
      <color indexed="12"/>
      <name val="VNI-Times"/>
      <family val="0"/>
    </font>
    <font>
      <vertAlign val="superscript"/>
      <sz val="10"/>
      <color indexed="12"/>
      <name val="VNI-Times"/>
      <family val="0"/>
    </font>
    <font>
      <vertAlign val="subscript"/>
      <sz val="10"/>
      <color indexed="12"/>
      <name val="VNI-Times"/>
      <family val="0"/>
    </font>
    <font>
      <b/>
      <vertAlign val="subscript"/>
      <sz val="10"/>
      <color indexed="8"/>
      <name val="VNI-Times"/>
      <family val="0"/>
    </font>
    <font>
      <sz val="10"/>
      <color indexed="8"/>
      <name val="Symbol"/>
      <family val="1"/>
    </font>
    <font>
      <vertAlign val="subscript"/>
      <sz val="10"/>
      <color indexed="8"/>
      <name val="VNI-Times"/>
      <family val="0"/>
    </font>
    <font>
      <i/>
      <u val="single"/>
      <sz val="10"/>
      <color indexed="10"/>
      <name val="VNI-Times"/>
      <family val="0"/>
    </font>
    <font>
      <i/>
      <u val="single"/>
      <vertAlign val="subscript"/>
      <sz val="10"/>
      <color indexed="10"/>
      <name val="VNI-Times"/>
      <family val="0"/>
    </font>
    <font>
      <b/>
      <sz val="12"/>
      <color indexed="10"/>
      <name val="VNI-Times"/>
      <family val="0"/>
    </font>
    <font>
      <b/>
      <sz val="10"/>
      <color indexed="10"/>
      <name val="Arial"/>
      <family val="2"/>
    </font>
    <font>
      <b/>
      <vertAlign val="subscript"/>
      <sz val="10"/>
      <color indexed="12"/>
      <name val="Symbol"/>
      <family val="1"/>
    </font>
    <font>
      <sz val="10"/>
      <color indexed="12"/>
      <name val="Symbol"/>
      <family val="1"/>
    </font>
    <font>
      <b/>
      <sz val="10"/>
      <color indexed="14"/>
      <name val="VNI-Times"/>
      <family val="0"/>
    </font>
    <font>
      <i/>
      <sz val="10"/>
      <name val="Symbol"/>
      <family val="1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.VnTime"/>
      <family val="0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3" applyNumberFormat="0" applyFont="0" applyFill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6" fillId="0" borderId="0">
      <alignment/>
      <protection/>
    </xf>
    <xf numFmtId="194" fontId="0" fillId="0" borderId="0" applyFont="0" applyFill="0" applyBorder="0" applyAlignment="0" applyProtection="0"/>
    <xf numFmtId="191" fontId="47" fillId="0" borderId="0" applyFont="0" applyFill="0" applyBorder="0" applyAlignment="0" applyProtection="0"/>
    <xf numFmtId="193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/>
    </xf>
    <xf numFmtId="2" fontId="2" fillId="0" borderId="0" xfId="0" applyNumberFormat="1" applyFont="1" applyAlignment="1">
      <alignment/>
    </xf>
    <xf numFmtId="168" fontId="0" fillId="2" borderId="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175" fontId="0" fillId="2" borderId="6" xfId="15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175" fontId="0" fillId="4" borderId="0" xfId="15" applyNumberForma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168" fontId="0" fillId="2" borderId="17" xfId="0" applyNumberFormat="1" applyFill="1" applyBorder="1" applyAlignment="1">
      <alignment horizontal="center" vertical="center"/>
    </xf>
    <xf numFmtId="175" fontId="0" fillId="2" borderId="18" xfId="15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169" fontId="18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2" fontId="18" fillId="4" borderId="0" xfId="0" applyNumberFormat="1" applyFont="1" applyFill="1" applyAlignment="1">
      <alignment/>
    </xf>
    <xf numFmtId="0" fontId="1" fillId="4" borderId="4" xfId="0" applyFont="1" applyFill="1" applyBorder="1" applyAlignment="1">
      <alignment horizontal="center"/>
    </xf>
    <xf numFmtId="0" fontId="22" fillId="4" borderId="0" xfId="0" applyFont="1" applyFill="1" applyAlignment="1">
      <alignment/>
    </xf>
    <xf numFmtId="0" fontId="1" fillId="4" borderId="4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5" fillId="4" borderId="0" xfId="0" applyFont="1" applyFill="1" applyAlignment="1">
      <alignment/>
    </xf>
    <xf numFmtId="169" fontId="18" fillId="4" borderId="2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2" fontId="1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169" fontId="18" fillId="4" borderId="0" xfId="0" applyNumberFormat="1" applyFont="1" applyFill="1" applyAlignment="1">
      <alignment/>
    </xf>
    <xf numFmtId="0" fontId="2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9" fontId="18" fillId="4" borderId="4" xfId="0" applyNumberFormat="1" applyFont="1" applyFill="1" applyBorder="1" applyAlignment="1">
      <alignment horizontal="center"/>
    </xf>
    <xf numFmtId="1" fontId="18" fillId="4" borderId="0" xfId="0" applyNumberFormat="1" applyFont="1" applyFill="1" applyAlignment="1">
      <alignment/>
    </xf>
    <xf numFmtId="0" fontId="11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168" fontId="1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2" fontId="7" fillId="4" borderId="0" xfId="0" applyNumberFormat="1" applyFont="1" applyFill="1" applyAlignment="1">
      <alignment/>
    </xf>
    <xf numFmtId="0" fontId="27" fillId="4" borderId="0" xfId="0" applyFont="1" applyFill="1" applyAlignment="1">
      <alignment horizontal="left"/>
    </xf>
    <xf numFmtId="0" fontId="27" fillId="4" borderId="0" xfId="0" applyFont="1" applyFill="1" applyAlignment="1">
      <alignment horizontal="right"/>
    </xf>
    <xf numFmtId="0" fontId="6" fillId="4" borderId="4" xfId="0" applyFont="1" applyFill="1" applyBorder="1" applyAlignment="1">
      <alignment horizontal="center"/>
    </xf>
    <xf numFmtId="168" fontId="18" fillId="4" borderId="4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8" fillId="4" borderId="0" xfId="0" applyFont="1" applyFill="1" applyAlignment="1">
      <alignment/>
    </xf>
    <xf numFmtId="0" fontId="16" fillId="4" borderId="0" xfId="0" applyFont="1" applyFill="1" applyAlignment="1">
      <alignment/>
    </xf>
    <xf numFmtId="168" fontId="2" fillId="4" borderId="0" xfId="0" applyNumberFormat="1" applyFont="1" applyFill="1" applyAlignment="1">
      <alignment/>
    </xf>
    <xf numFmtId="2" fontId="6" fillId="4" borderId="0" xfId="0" applyNumberFormat="1" applyFont="1" applyFill="1" applyAlignment="1">
      <alignment/>
    </xf>
    <xf numFmtId="0" fontId="18" fillId="4" borderId="4" xfId="0" applyFont="1" applyFill="1" applyBorder="1" applyAlignment="1">
      <alignment horizontal="center"/>
    </xf>
    <xf numFmtId="168" fontId="18" fillId="4" borderId="0" xfId="0" applyNumberFormat="1" applyFont="1" applyFill="1" applyAlignment="1">
      <alignment/>
    </xf>
    <xf numFmtId="0" fontId="1" fillId="4" borderId="0" xfId="0" applyFont="1" applyFill="1" applyAlignment="1">
      <alignment horizontal="center"/>
    </xf>
    <xf numFmtId="0" fontId="29" fillId="3" borderId="21" xfId="0" applyFont="1" applyFill="1" applyBorder="1" applyAlignment="1">
      <alignment horizontal="center"/>
    </xf>
    <xf numFmtId="0" fontId="29" fillId="3" borderId="22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9" fillId="3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29" fillId="3" borderId="23" xfId="0" applyFont="1" applyFill="1" applyBorder="1" applyAlignment="1">
      <alignment horizontal="center"/>
    </xf>
    <xf numFmtId="0" fontId="29" fillId="3" borderId="2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168" fontId="18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0" fontId="27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9" fontId="18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28" fillId="0" borderId="0" xfId="0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5" fillId="0" borderId="0" xfId="0" applyFont="1" applyAlignment="1">
      <alignment/>
    </xf>
    <xf numFmtId="0" fontId="11" fillId="3" borderId="4" xfId="0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/>
    </xf>
    <xf numFmtId="0" fontId="6" fillId="5" borderId="4" xfId="0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center"/>
    </xf>
    <xf numFmtId="168" fontId="18" fillId="2" borderId="4" xfId="0" applyNumberFormat="1" applyFont="1" applyFill="1" applyBorder="1" applyAlignment="1">
      <alignment horizontal="center"/>
    </xf>
    <xf numFmtId="2" fontId="29" fillId="2" borderId="4" xfId="0" applyNumberFormat="1" applyFont="1" applyFill="1" applyBorder="1" applyAlignment="1">
      <alignment horizontal="center"/>
    </xf>
    <xf numFmtId="168" fontId="29" fillId="2" borderId="4" xfId="0" applyNumberFormat="1" applyFont="1" applyFill="1" applyBorder="1" applyAlignment="1">
      <alignment horizontal="center"/>
    </xf>
    <xf numFmtId="169" fontId="18" fillId="2" borderId="4" xfId="0" applyNumberFormat="1" applyFont="1" applyFill="1" applyBorder="1" applyAlignment="1">
      <alignment horizontal="left"/>
    </xf>
    <xf numFmtId="169" fontId="6" fillId="5" borderId="4" xfId="0" applyNumberFormat="1" applyFont="1" applyFill="1" applyBorder="1" applyAlignment="1">
      <alignment horizontal="right"/>
    </xf>
    <xf numFmtId="2" fontId="6" fillId="5" borderId="4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9" fontId="1" fillId="2" borderId="4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/>
    </xf>
    <xf numFmtId="0" fontId="18" fillId="3" borderId="21" xfId="0" applyFont="1" applyFill="1" applyBorder="1" applyAlignment="1">
      <alignment/>
    </xf>
    <xf numFmtId="0" fontId="18" fillId="3" borderId="19" xfId="0" applyFont="1" applyFill="1" applyBorder="1" applyAlignment="1">
      <alignment/>
    </xf>
    <xf numFmtId="0" fontId="29" fillId="3" borderId="19" xfId="0" applyFont="1" applyFill="1" applyBorder="1" applyAlignment="1">
      <alignment/>
    </xf>
    <xf numFmtId="0" fontId="29" fillId="3" borderId="20" xfId="0" applyFont="1" applyFill="1" applyBorder="1" applyAlignment="1">
      <alignment/>
    </xf>
    <xf numFmtId="0" fontId="18" fillId="3" borderId="21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/>
    </xf>
    <xf numFmtId="0" fontId="29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2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38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2" fontId="18" fillId="4" borderId="4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15" fillId="4" borderId="0" xfId="0" applyFont="1" applyFill="1" applyAlignment="1">
      <alignment/>
    </xf>
    <xf numFmtId="169" fontId="18" fillId="4" borderId="0" xfId="0" applyNumberFormat="1" applyFont="1" applyFill="1" applyBorder="1" applyAlignment="1">
      <alignment/>
    </xf>
    <xf numFmtId="0" fontId="18" fillId="4" borderId="0" xfId="0" applyFont="1" applyFill="1" applyBorder="1" applyAlignment="1">
      <alignment/>
    </xf>
    <xf numFmtId="2" fontId="18" fillId="4" borderId="0" xfId="0" applyNumberFormat="1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2" xfId="0" applyFont="1" applyFill="1" applyBorder="1" applyAlignment="1">
      <alignment/>
    </xf>
    <xf numFmtId="2" fontId="18" fillId="4" borderId="22" xfId="0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/>
    </xf>
    <xf numFmtId="169" fontId="6" fillId="4" borderId="4" xfId="0" applyNumberFormat="1" applyFont="1" applyFill="1" applyBorder="1" applyAlignment="1">
      <alignment horizontal="center"/>
    </xf>
    <xf numFmtId="0" fontId="41" fillId="4" borderId="0" xfId="0" applyFont="1" applyFill="1" applyAlignment="1">
      <alignment/>
    </xf>
    <xf numFmtId="0" fontId="37" fillId="4" borderId="0" xfId="0" applyFont="1" applyFill="1" applyAlignment="1">
      <alignment/>
    </xf>
    <xf numFmtId="0" fontId="41" fillId="0" borderId="0" xfId="0" applyFont="1" applyAlignment="1">
      <alignment/>
    </xf>
    <xf numFmtId="0" fontId="41" fillId="4" borderId="0" xfId="0" applyFont="1" applyFill="1" applyAlignment="1">
      <alignment horizontal="left"/>
    </xf>
    <xf numFmtId="168" fontId="18" fillId="4" borderId="5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1" fillId="2" borderId="21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5" fillId="2" borderId="21" xfId="0" applyFont="1" applyFill="1" applyBorder="1" applyAlignment="1">
      <alignment/>
    </xf>
    <xf numFmtId="169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69" fontId="18" fillId="4" borderId="0" xfId="0" applyNumberFormat="1" applyFont="1" applyFill="1" applyBorder="1" applyAlignment="1">
      <alignment horizontal="right"/>
    </xf>
    <xf numFmtId="168" fontId="7" fillId="4" borderId="4" xfId="0" applyNumberFormat="1" applyFont="1" applyFill="1" applyBorder="1" applyAlignment="1">
      <alignment horizontal="center"/>
    </xf>
    <xf numFmtId="0" fontId="27" fillId="4" borderId="0" xfId="0" applyFont="1" applyFill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right"/>
    </xf>
    <xf numFmtId="0" fontId="18" fillId="3" borderId="4" xfId="0" applyFont="1" applyFill="1" applyBorder="1" applyAlignment="1">
      <alignment horizontal="right"/>
    </xf>
    <xf numFmtId="2" fontId="18" fillId="4" borderId="0" xfId="0" applyNumberFormat="1" applyFont="1" applyFill="1" applyBorder="1" applyAlignment="1">
      <alignment horizontal="right"/>
    </xf>
    <xf numFmtId="0" fontId="11" fillId="3" borderId="21" xfId="0" applyFont="1" applyFill="1" applyBorder="1" applyAlignment="1">
      <alignment horizontal="center"/>
    </xf>
    <xf numFmtId="169" fontId="29" fillId="4" borderId="4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" borderId="4" xfId="0" applyFont="1" applyFill="1" applyBorder="1" applyAlignment="1">
      <alignment/>
    </xf>
    <xf numFmtId="2" fontId="18" fillId="2" borderId="4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0" fillId="5" borderId="0" xfId="42" applyFont="1" applyFill="1">
      <alignment/>
      <protection/>
    </xf>
    <xf numFmtId="0" fontId="0" fillId="0" borderId="0" xfId="42">
      <alignment/>
      <protection/>
    </xf>
    <xf numFmtId="0" fontId="0" fillId="5" borderId="0" xfId="42" applyFill="1">
      <alignment/>
      <protection/>
    </xf>
    <xf numFmtId="0" fontId="0" fillId="3" borderId="29" xfId="42" applyFill="1" applyBorder="1">
      <alignment/>
      <protection/>
    </xf>
    <xf numFmtId="0" fontId="0" fillId="2" borderId="19" xfId="42" applyFill="1" applyBorder="1">
      <alignment/>
      <protection/>
    </xf>
    <xf numFmtId="0" fontId="38" fillId="6" borderId="26" xfId="42" applyFont="1" applyFill="1" applyBorder="1" applyAlignment="1">
      <alignment horizontal="center"/>
      <protection/>
    </xf>
    <xf numFmtId="0" fontId="51" fillId="7" borderId="30" xfId="42" applyFont="1" applyFill="1" applyBorder="1" applyAlignment="1">
      <alignment horizontal="center"/>
      <protection/>
    </xf>
    <xf numFmtId="0" fontId="38" fillId="6" borderId="30" xfId="42" applyFont="1" applyFill="1" applyBorder="1" applyAlignment="1">
      <alignment horizontal="center"/>
      <protection/>
    </xf>
    <xf numFmtId="0" fontId="38" fillId="6" borderId="31" xfId="42" applyFont="1" applyFill="1" applyBorder="1" applyAlignment="1">
      <alignment horizontal="center"/>
      <protection/>
    </xf>
    <xf numFmtId="0" fontId="0" fillId="2" borderId="20" xfId="42" applyFill="1" applyBorder="1">
      <alignment/>
      <protection/>
    </xf>
    <xf numFmtId="0" fontId="0" fillId="3" borderId="21" xfId="42" applyFill="1" applyBorder="1">
      <alignment/>
      <protection/>
    </xf>
    <xf numFmtId="0" fontId="0" fillId="2" borderId="21" xfId="42" applyFill="1" applyBorder="1">
      <alignment/>
      <protection/>
    </xf>
    <xf numFmtId="0" fontId="0" fillId="3" borderId="13" xfId="42" applyFill="1" applyBorder="1">
      <alignment/>
      <protection/>
    </xf>
    <xf numFmtId="0" fontId="29" fillId="3" borderId="25" xfId="0" applyFont="1" applyFill="1" applyBorder="1" applyAlignment="1">
      <alignment horizontal="center"/>
    </xf>
    <xf numFmtId="0" fontId="29" fillId="3" borderId="32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33" xfId="0" applyFont="1" applyFill="1" applyBorder="1" applyAlignment="1">
      <alignment horizontal="center" vertical="center"/>
    </xf>
    <xf numFmtId="168" fontId="18" fillId="4" borderId="4" xfId="0" applyNumberFormat="1" applyFont="1" applyFill="1" applyBorder="1" applyAlignment="1">
      <alignment horizontal="center" vertical="center"/>
    </xf>
    <xf numFmtId="168" fontId="6" fillId="4" borderId="4" xfId="0" applyNumberFormat="1" applyFont="1" applyFill="1" applyBorder="1" applyAlignment="1">
      <alignment horizontal="center" vertical="center"/>
    </xf>
    <xf numFmtId="2" fontId="18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" fontId="18" fillId="4" borderId="4" xfId="0" applyNumberFormat="1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67" fontId="6" fillId="4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/>
    </xf>
    <xf numFmtId="0" fontId="29" fillId="3" borderId="32" xfId="0" applyFont="1" applyFill="1" applyBorder="1" applyAlignment="1">
      <alignment horizontal="center"/>
    </xf>
    <xf numFmtId="0" fontId="29" fillId="3" borderId="34" xfId="0" applyFont="1" applyFill="1" applyBorder="1" applyAlignment="1">
      <alignment horizontal="center"/>
    </xf>
    <xf numFmtId="0" fontId="29" fillId="3" borderId="24" xfId="0" applyFont="1" applyFill="1" applyBorder="1" applyAlignment="1">
      <alignment horizontal="center"/>
    </xf>
    <xf numFmtId="0" fontId="29" fillId="3" borderId="35" xfId="0" applyFont="1" applyFill="1" applyBorder="1" applyAlignment="1">
      <alignment horizontal="center"/>
    </xf>
    <xf numFmtId="0" fontId="29" fillId="3" borderId="3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Percent" xfId="29"/>
    <cellStyle name="Total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HOBONG" xfId="35"/>
    <cellStyle name="뷭?_BOOKSHIP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  <cellStyle name="표준_kc-elec system check lis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8.emf" /><Relationship Id="rId3" Type="http://schemas.openxmlformats.org/officeDocument/2006/relationships/image" Target="../media/image11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Relationship Id="rId6" Type="http://schemas.openxmlformats.org/officeDocument/2006/relationships/image" Target="../media/image12.emf" /><Relationship Id="rId7" Type="http://schemas.openxmlformats.org/officeDocument/2006/relationships/image" Target="../media/image17.emf" /><Relationship Id="rId8" Type="http://schemas.openxmlformats.org/officeDocument/2006/relationships/image" Target="../media/image19.emf" /><Relationship Id="rId9" Type="http://schemas.openxmlformats.org/officeDocument/2006/relationships/image" Target="../media/image18.emf" /><Relationship Id="rId10" Type="http://schemas.openxmlformats.org/officeDocument/2006/relationships/image" Target="../media/image9.emf" /><Relationship Id="rId11" Type="http://schemas.openxmlformats.org/officeDocument/2006/relationships/image" Target="../media/image14.emf" /><Relationship Id="rId12" Type="http://schemas.openxmlformats.org/officeDocument/2006/relationships/image" Target="../media/image2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3.emf" /><Relationship Id="rId3" Type="http://schemas.openxmlformats.org/officeDocument/2006/relationships/image" Target="../media/image26.emf" /><Relationship Id="rId4" Type="http://schemas.openxmlformats.org/officeDocument/2006/relationships/image" Target="../media/image24.emf" /><Relationship Id="rId5" Type="http://schemas.openxmlformats.org/officeDocument/2006/relationships/image" Target="../media/image15.emf" /><Relationship Id="rId6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3.emf" /><Relationship Id="rId3" Type="http://schemas.openxmlformats.org/officeDocument/2006/relationships/image" Target="../media/image25.emf" /><Relationship Id="rId4" Type="http://schemas.openxmlformats.org/officeDocument/2006/relationships/image" Target="../media/image29.emf" /><Relationship Id="rId5" Type="http://schemas.openxmlformats.org/officeDocument/2006/relationships/image" Target="../media/image1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2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30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ic03\d\XDCB\SAN\S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.tra o ban"/>
    </sheetNames>
    <sheetDataSet>
      <sheetData sheetId="2">
        <row r="2">
          <cell r="B2" t="str">
            <v>Maùc Beâtoâng</v>
          </cell>
          <cell r="C2" t="str">
            <v>Rn</v>
          </cell>
          <cell r="D2" t="str">
            <v>Rk</v>
          </cell>
          <cell r="E2" t="str">
            <v>Eb</v>
          </cell>
        </row>
        <row r="3">
          <cell r="B3">
            <v>150</v>
          </cell>
          <cell r="C3">
            <v>65</v>
          </cell>
          <cell r="D3">
            <v>6</v>
          </cell>
        </row>
        <row r="4">
          <cell r="B4">
            <v>200</v>
          </cell>
          <cell r="C4">
            <v>90</v>
          </cell>
          <cell r="D4">
            <v>7.5</v>
          </cell>
        </row>
        <row r="5">
          <cell r="B5">
            <v>250</v>
          </cell>
          <cell r="C5">
            <v>110</v>
          </cell>
          <cell r="D5">
            <v>8.8</v>
          </cell>
        </row>
        <row r="6">
          <cell r="B6">
            <v>300</v>
          </cell>
          <cell r="C6">
            <v>130</v>
          </cell>
          <cell r="D6">
            <v>10</v>
          </cell>
        </row>
        <row r="8">
          <cell r="B8" t="str">
            <v>Loaïi theùp</v>
          </cell>
          <cell r="C8" t="str">
            <v>Ra</v>
          </cell>
          <cell r="D8" t="str">
            <v>Rañ</v>
          </cell>
          <cell r="E8" t="str">
            <v>Ea</v>
          </cell>
        </row>
        <row r="9">
          <cell r="B9" t="str">
            <v>AI</v>
          </cell>
          <cell r="C9">
            <v>2100</v>
          </cell>
          <cell r="D9">
            <v>1680</v>
          </cell>
        </row>
        <row r="10">
          <cell r="B10" t="str">
            <v>AII</v>
          </cell>
          <cell r="C10">
            <v>2700</v>
          </cell>
          <cell r="D10">
            <v>2160</v>
          </cell>
        </row>
        <row r="11">
          <cell r="B11" t="str">
            <v>AIII</v>
          </cell>
          <cell r="C11">
            <v>3400</v>
          </cell>
          <cell r="D11">
            <v>2720</v>
          </cell>
        </row>
      </sheetData>
      <sheetData sheetId="3">
        <row r="4">
          <cell r="W4" t="str">
            <v>OÂ loïai 2 (ob2)</v>
          </cell>
        </row>
        <row r="5">
          <cell r="K5" t="str">
            <v>L2/L1</v>
          </cell>
          <cell r="L5" t="str">
            <v>m91</v>
          </cell>
          <cell r="M5" t="str">
            <v>m92</v>
          </cell>
          <cell r="N5" t="str">
            <v>k91</v>
          </cell>
          <cell r="O5" t="str">
            <v>k92</v>
          </cell>
          <cell r="Q5" t="str">
            <v>L2/L1</v>
          </cell>
          <cell r="R5" t="str">
            <v>m11</v>
          </cell>
          <cell r="S5" t="str">
            <v>m12</v>
          </cell>
          <cell r="T5" t="str">
            <v>k11</v>
          </cell>
          <cell r="U5" t="str">
            <v>k12</v>
          </cell>
          <cell r="W5" t="str">
            <v>L2/L1</v>
          </cell>
          <cell r="X5" t="str">
            <v>m21</v>
          </cell>
          <cell r="Y5" t="str">
            <v>m22</v>
          </cell>
          <cell r="Z5" t="str">
            <v>k21</v>
          </cell>
          <cell r="AA5" t="str">
            <v>k22</v>
          </cell>
          <cell r="AC5" t="str">
            <v>L2/L1</v>
          </cell>
          <cell r="AD5" t="str">
            <v>m31</v>
          </cell>
          <cell r="AE5" t="str">
            <v>m32</v>
          </cell>
          <cell r="AF5" t="str">
            <v>k31</v>
          </cell>
          <cell r="AG5" t="str">
            <v>k32</v>
          </cell>
          <cell r="AI5" t="str">
            <v>L2/L1</v>
          </cell>
          <cell r="AJ5" t="str">
            <v>m41</v>
          </cell>
          <cell r="AK5" t="str">
            <v>m42</v>
          </cell>
          <cell r="AL5" t="str">
            <v>k41</v>
          </cell>
          <cell r="AM5" t="str">
            <v>k42</v>
          </cell>
          <cell r="AO5" t="str">
            <v>L2/L1</v>
          </cell>
          <cell r="AP5" t="str">
            <v>m51</v>
          </cell>
          <cell r="AQ5" t="str">
            <v>m52</v>
          </cell>
          <cell r="AR5" t="str">
            <v>k51</v>
          </cell>
          <cell r="AS5" t="str">
            <v>k52</v>
          </cell>
          <cell r="AU5" t="str">
            <v>L2/L1</v>
          </cell>
          <cell r="AV5" t="str">
            <v>m21</v>
          </cell>
          <cell r="AW5" t="str">
            <v>m22</v>
          </cell>
          <cell r="AX5" t="str">
            <v>k21</v>
          </cell>
          <cell r="AY5" t="str">
            <v>k22</v>
          </cell>
          <cell r="BA5" t="str">
            <v>L2/L1</v>
          </cell>
          <cell r="BB5" t="str">
            <v>m71</v>
          </cell>
          <cell r="BC5" t="str">
            <v>m72</v>
          </cell>
          <cell r="BD5" t="str">
            <v>k71</v>
          </cell>
          <cell r="BE5" t="str">
            <v>k72</v>
          </cell>
          <cell r="BG5" t="str">
            <v>L2/L1</v>
          </cell>
          <cell r="BH5" t="str">
            <v>m81</v>
          </cell>
          <cell r="BI5" t="str">
            <v>m82</v>
          </cell>
          <cell r="BJ5" t="str">
            <v>k81</v>
          </cell>
          <cell r="BK5" t="str">
            <v>k82</v>
          </cell>
          <cell r="BM5" t="str">
            <v>L2/L1</v>
          </cell>
          <cell r="BN5" t="str">
            <v>m21</v>
          </cell>
          <cell r="BO5" t="str">
            <v>m22</v>
          </cell>
          <cell r="BP5" t="str">
            <v>k21</v>
          </cell>
          <cell r="BQ5" t="str">
            <v>k22</v>
          </cell>
          <cell r="BS5" t="str">
            <v>L2/L1</v>
          </cell>
          <cell r="BT5" t="str">
            <v>m21</v>
          </cell>
          <cell r="BU5" t="str">
            <v>m22</v>
          </cell>
          <cell r="BV5" t="str">
            <v>k21</v>
          </cell>
          <cell r="BW5" t="str">
            <v>k22</v>
          </cell>
        </row>
        <row r="6">
          <cell r="K6">
            <v>1</v>
          </cell>
          <cell r="L6">
            <v>0.0179</v>
          </cell>
          <cell r="M6">
            <v>0.0179</v>
          </cell>
          <cell r="N6">
            <v>0.0417</v>
          </cell>
          <cell r="O6">
            <v>0.0417</v>
          </cell>
          <cell r="Q6">
            <v>1</v>
          </cell>
          <cell r="R6">
            <v>0.0365</v>
          </cell>
          <cell r="S6">
            <v>0.0365</v>
          </cell>
          <cell r="T6">
            <v>0</v>
          </cell>
          <cell r="U6">
            <v>0</v>
          </cell>
          <cell r="W6">
            <v>1</v>
          </cell>
          <cell r="X6">
            <v>0.0334</v>
          </cell>
          <cell r="Y6">
            <v>0.0273</v>
          </cell>
          <cell r="Z6">
            <v>0.0892</v>
          </cell>
          <cell r="AA6">
            <v>0</v>
          </cell>
          <cell r="AC6">
            <v>1</v>
          </cell>
          <cell r="AD6">
            <v>0.0273</v>
          </cell>
          <cell r="AE6">
            <v>0.0334</v>
          </cell>
          <cell r="AF6">
            <v>0</v>
          </cell>
          <cell r="AG6">
            <v>0.0893</v>
          </cell>
          <cell r="AI6">
            <v>1</v>
          </cell>
          <cell r="AJ6">
            <v>0.0267</v>
          </cell>
          <cell r="AK6">
            <v>0.018</v>
          </cell>
          <cell r="AL6">
            <v>0.0694</v>
          </cell>
          <cell r="AM6">
            <v>0</v>
          </cell>
          <cell r="AO6">
            <v>1</v>
          </cell>
          <cell r="AP6">
            <v>0.018</v>
          </cell>
          <cell r="AQ6">
            <v>0.0267</v>
          </cell>
          <cell r="AS6">
            <v>0.0694</v>
          </cell>
          <cell r="AU6">
            <v>1</v>
          </cell>
          <cell r="AV6">
            <v>0.0269</v>
          </cell>
          <cell r="AW6">
            <v>0.0269</v>
          </cell>
          <cell r="AX6">
            <v>0.0625</v>
          </cell>
          <cell r="AY6">
            <v>0.0625</v>
          </cell>
          <cell r="BA6">
            <v>1</v>
          </cell>
          <cell r="BB6">
            <v>0.0226</v>
          </cell>
          <cell r="BC6">
            <v>0.0198</v>
          </cell>
          <cell r="BD6">
            <v>0.0556</v>
          </cell>
          <cell r="BE6">
            <v>0.0417</v>
          </cell>
          <cell r="BG6">
            <v>1</v>
          </cell>
          <cell r="BH6">
            <v>0.0198</v>
          </cell>
          <cell r="BI6">
            <v>0.0226</v>
          </cell>
          <cell r="BJ6">
            <v>0.0417</v>
          </cell>
          <cell r="BK6">
            <v>0.0556</v>
          </cell>
          <cell r="BM6">
            <v>1</v>
          </cell>
          <cell r="BN6">
            <v>0.0099</v>
          </cell>
          <cell r="BO6">
            <v>0.0457</v>
          </cell>
          <cell r="BP6">
            <v>0.051</v>
          </cell>
          <cell r="BQ6">
            <v>0.0853</v>
          </cell>
          <cell r="BS6">
            <v>1</v>
          </cell>
          <cell r="BT6">
            <v>0.0457</v>
          </cell>
          <cell r="BU6">
            <v>0.009</v>
          </cell>
          <cell r="BV6">
            <v>0.0855</v>
          </cell>
          <cell r="BW6">
            <v>0.051</v>
          </cell>
        </row>
        <row r="7">
          <cell r="K7">
            <v>1.05</v>
          </cell>
          <cell r="L7">
            <v>0.0187</v>
          </cell>
          <cell r="M7">
            <v>0.0171</v>
          </cell>
          <cell r="N7">
            <v>0.0437</v>
          </cell>
          <cell r="O7">
            <v>0.0394</v>
          </cell>
          <cell r="Q7">
            <v>1.05</v>
          </cell>
          <cell r="R7">
            <v>0.0384</v>
          </cell>
          <cell r="S7">
            <v>0.0341</v>
          </cell>
          <cell r="T7">
            <v>0</v>
          </cell>
          <cell r="U7">
            <v>0</v>
          </cell>
          <cell r="W7">
            <v>1.05</v>
          </cell>
          <cell r="X7">
            <v>0.0343</v>
          </cell>
          <cell r="Y7">
            <v>0.0252</v>
          </cell>
          <cell r="Z7">
            <v>0.0895</v>
          </cell>
          <cell r="AA7">
            <v>0</v>
          </cell>
          <cell r="AC7">
            <v>1.05</v>
          </cell>
          <cell r="AD7">
            <v>0.0293</v>
          </cell>
          <cell r="AE7">
            <v>0.0325</v>
          </cell>
          <cell r="AF7">
            <v>0</v>
          </cell>
          <cell r="AG7">
            <v>0.0883</v>
          </cell>
          <cell r="AI7">
            <v>1.05</v>
          </cell>
          <cell r="AJ7">
            <v>0.0267</v>
          </cell>
          <cell r="AK7">
            <v>0.0161</v>
          </cell>
          <cell r="AL7">
            <v>0.068</v>
          </cell>
          <cell r="AM7">
            <v>0</v>
          </cell>
          <cell r="AO7">
            <v>1.05</v>
          </cell>
          <cell r="AP7">
            <v>0.0199</v>
          </cell>
          <cell r="AQ7">
            <v>0.0265</v>
          </cell>
          <cell r="AS7">
            <v>0.0705</v>
          </cell>
          <cell r="AU7">
            <v>1.05</v>
          </cell>
          <cell r="AV7">
            <v>0.0282</v>
          </cell>
          <cell r="AW7">
            <v>0.0255</v>
          </cell>
          <cell r="AX7">
            <v>0.0655</v>
          </cell>
          <cell r="AY7">
            <v>0.059</v>
          </cell>
          <cell r="BA7">
            <v>1.05</v>
          </cell>
          <cell r="BB7">
            <v>0.0231</v>
          </cell>
          <cell r="BC7">
            <v>0.0184</v>
          </cell>
          <cell r="BD7">
            <v>0.056</v>
          </cell>
          <cell r="BE7">
            <v>0.0385</v>
          </cell>
          <cell r="BG7">
            <v>1.05</v>
          </cell>
          <cell r="BH7">
            <v>0.0213</v>
          </cell>
          <cell r="BI7">
            <v>0.0221</v>
          </cell>
          <cell r="BJ7">
            <v>0.045</v>
          </cell>
          <cell r="BK7">
            <v>0.0545</v>
          </cell>
          <cell r="BM7">
            <v>1.05</v>
          </cell>
          <cell r="BN7">
            <v>0.0101</v>
          </cell>
          <cell r="BO7">
            <v>0.0475</v>
          </cell>
          <cell r="BP7">
            <v>0.0542</v>
          </cell>
          <cell r="BQ7">
            <v>0.0892</v>
          </cell>
          <cell r="BS7">
            <v>1.05</v>
          </cell>
          <cell r="BT7">
            <v>0.0439</v>
          </cell>
          <cell r="BU7">
            <v>0.0092</v>
          </cell>
          <cell r="BV7">
            <v>0.0816</v>
          </cell>
          <cell r="BW7">
            <v>0.0479</v>
          </cell>
        </row>
        <row r="8">
          <cell r="K8">
            <v>1.1</v>
          </cell>
          <cell r="L8">
            <v>0.0194</v>
          </cell>
          <cell r="M8">
            <v>0.0161</v>
          </cell>
          <cell r="N8">
            <v>0.045</v>
          </cell>
          <cell r="O8">
            <v>0.0372</v>
          </cell>
          <cell r="Q8">
            <v>1.1</v>
          </cell>
          <cell r="R8">
            <v>0.0399</v>
          </cell>
          <cell r="S8">
            <v>0.033</v>
          </cell>
          <cell r="T8">
            <v>0</v>
          </cell>
          <cell r="U8">
            <v>0</v>
          </cell>
          <cell r="W8">
            <v>1.1</v>
          </cell>
          <cell r="X8">
            <v>0.0349</v>
          </cell>
          <cell r="Y8">
            <v>0.0231</v>
          </cell>
          <cell r="Z8">
            <v>0.0892</v>
          </cell>
          <cell r="AA8">
            <v>0</v>
          </cell>
          <cell r="AC8">
            <v>1.1</v>
          </cell>
          <cell r="AD8">
            <v>0.0313</v>
          </cell>
          <cell r="AE8">
            <v>0.0313</v>
          </cell>
          <cell r="AF8">
            <v>0</v>
          </cell>
          <cell r="AG8">
            <v>0.0867</v>
          </cell>
          <cell r="AI8">
            <v>1.1</v>
          </cell>
          <cell r="AJ8">
            <v>0.0266</v>
          </cell>
          <cell r="AK8">
            <v>0.0146</v>
          </cell>
          <cell r="AL8">
            <v>0.0667</v>
          </cell>
          <cell r="AM8">
            <v>0</v>
          </cell>
          <cell r="AO8">
            <v>1.1</v>
          </cell>
          <cell r="AP8">
            <v>0.0218</v>
          </cell>
          <cell r="AQ8">
            <v>0.0262</v>
          </cell>
          <cell r="AS8">
            <v>0.0708</v>
          </cell>
          <cell r="AU8">
            <v>1.1</v>
          </cell>
          <cell r="AV8">
            <v>0.0292</v>
          </cell>
          <cell r="AW8">
            <v>0.0242</v>
          </cell>
          <cell r="AX8">
            <v>0.0675</v>
          </cell>
          <cell r="AY8">
            <v>0.0558</v>
          </cell>
          <cell r="BA8">
            <v>1.1</v>
          </cell>
          <cell r="BB8">
            <v>0.0234</v>
          </cell>
          <cell r="BC8">
            <v>0.0169</v>
          </cell>
          <cell r="BD8">
            <v>0.0565</v>
          </cell>
          <cell r="BE8">
            <v>0.035</v>
          </cell>
          <cell r="BG8">
            <v>1.1</v>
          </cell>
          <cell r="BH8">
            <v>0.0226</v>
          </cell>
          <cell r="BI8">
            <v>0.0212</v>
          </cell>
          <cell r="BJ8">
            <v>0.0481</v>
          </cell>
          <cell r="BK8">
            <v>0.053</v>
          </cell>
          <cell r="BM8">
            <v>1.1</v>
          </cell>
          <cell r="BN8">
            <v>0.0102</v>
          </cell>
          <cell r="BO8">
            <v>0.0492</v>
          </cell>
          <cell r="BP8">
            <v>0.0574</v>
          </cell>
          <cell r="BQ8">
            <v>0.093</v>
          </cell>
          <cell r="BS8">
            <v>1.1</v>
          </cell>
          <cell r="BT8">
            <v>0.0421</v>
          </cell>
          <cell r="BU8">
            <v>0.0094</v>
          </cell>
          <cell r="BV8">
            <v>0.0777</v>
          </cell>
          <cell r="BW8">
            <v>0.0448</v>
          </cell>
        </row>
        <row r="9">
          <cell r="K9">
            <v>1.15</v>
          </cell>
          <cell r="L9">
            <v>0.02</v>
          </cell>
          <cell r="M9">
            <v>0.015</v>
          </cell>
          <cell r="N9">
            <v>0.0461</v>
          </cell>
          <cell r="O9">
            <v>0.0349</v>
          </cell>
          <cell r="Q9">
            <v>1.15</v>
          </cell>
          <cell r="R9">
            <v>0.0414</v>
          </cell>
          <cell r="S9">
            <v>0.0314</v>
          </cell>
          <cell r="T9">
            <v>0</v>
          </cell>
          <cell r="U9">
            <v>0</v>
          </cell>
          <cell r="W9">
            <v>1.15</v>
          </cell>
          <cell r="X9">
            <v>0.0353</v>
          </cell>
          <cell r="Y9">
            <v>0.0213</v>
          </cell>
          <cell r="Z9">
            <v>0.0885</v>
          </cell>
          <cell r="AA9">
            <v>0</v>
          </cell>
          <cell r="AC9">
            <v>1.15</v>
          </cell>
          <cell r="AD9">
            <v>0.0332</v>
          </cell>
          <cell r="AE9">
            <v>0.0302</v>
          </cell>
          <cell r="AF9">
            <v>0</v>
          </cell>
          <cell r="AG9">
            <v>0.0844</v>
          </cell>
          <cell r="AI9">
            <v>1.15</v>
          </cell>
          <cell r="AJ9">
            <v>0.0264</v>
          </cell>
          <cell r="AK9">
            <v>0.0131</v>
          </cell>
          <cell r="AL9">
            <v>0.065</v>
          </cell>
          <cell r="AM9">
            <v>0</v>
          </cell>
          <cell r="AO9">
            <v>1.15</v>
          </cell>
          <cell r="AP9">
            <v>0.0236</v>
          </cell>
          <cell r="AQ9">
            <v>0.0258</v>
          </cell>
          <cell r="AS9">
            <v>0.071</v>
          </cell>
          <cell r="AU9">
            <v>1.15</v>
          </cell>
          <cell r="AV9">
            <v>0.0301</v>
          </cell>
          <cell r="AW9">
            <v>0.0228</v>
          </cell>
          <cell r="AX9">
            <v>0.0691</v>
          </cell>
          <cell r="AY9">
            <v>0.0522</v>
          </cell>
          <cell r="BA9">
            <v>1.15</v>
          </cell>
          <cell r="BB9">
            <v>0.0236</v>
          </cell>
          <cell r="BC9">
            <v>0.0154</v>
          </cell>
          <cell r="BD9">
            <v>0.0564</v>
          </cell>
          <cell r="BE9">
            <v>0.0319</v>
          </cell>
          <cell r="BG9">
            <v>1.15</v>
          </cell>
          <cell r="BH9">
            <v>0.0238</v>
          </cell>
          <cell r="BI9">
            <v>0.0206</v>
          </cell>
          <cell r="BJ9">
            <v>0.0507</v>
          </cell>
          <cell r="BK9">
            <v>0.0511</v>
          </cell>
          <cell r="BM9">
            <v>1.15</v>
          </cell>
          <cell r="BN9">
            <v>0.0102</v>
          </cell>
          <cell r="BO9">
            <v>0.0506</v>
          </cell>
          <cell r="BP9">
            <v>0.0555</v>
          </cell>
          <cell r="BQ9">
            <v>0.0965</v>
          </cell>
          <cell r="BS9">
            <v>1.15</v>
          </cell>
          <cell r="BT9">
            <v>0.0405</v>
          </cell>
          <cell r="BU9">
            <v>0.0091</v>
          </cell>
          <cell r="BV9">
            <v>0.0745</v>
          </cell>
          <cell r="BW9">
            <v>0.0423</v>
          </cell>
        </row>
        <row r="10">
          <cell r="K10">
            <v>1.2</v>
          </cell>
          <cell r="L10">
            <v>0.0204</v>
          </cell>
          <cell r="M10">
            <v>0.0142</v>
          </cell>
          <cell r="N10">
            <v>0.0468</v>
          </cell>
          <cell r="O10">
            <v>0.0325</v>
          </cell>
          <cell r="Q10">
            <v>1.2</v>
          </cell>
          <cell r="R10">
            <v>0.0428</v>
          </cell>
          <cell r="S10">
            <v>0.0298</v>
          </cell>
          <cell r="T10">
            <v>0</v>
          </cell>
          <cell r="U10">
            <v>0</v>
          </cell>
          <cell r="W10">
            <v>1.2</v>
          </cell>
          <cell r="X10">
            <v>0.0357</v>
          </cell>
          <cell r="Y10">
            <v>0.0196</v>
          </cell>
          <cell r="Z10">
            <v>0.0872</v>
          </cell>
          <cell r="AA10">
            <v>0</v>
          </cell>
          <cell r="AC10">
            <v>1.2</v>
          </cell>
          <cell r="AD10">
            <v>0.0348</v>
          </cell>
          <cell r="AE10">
            <v>0.0292</v>
          </cell>
          <cell r="AF10">
            <v>0</v>
          </cell>
          <cell r="AG10">
            <v>0.082</v>
          </cell>
          <cell r="AI10">
            <v>1.2</v>
          </cell>
          <cell r="AJ10">
            <v>0.0261</v>
          </cell>
          <cell r="AK10">
            <v>0.0118</v>
          </cell>
          <cell r="AL10">
            <v>0.0633</v>
          </cell>
          <cell r="AM10">
            <v>0</v>
          </cell>
          <cell r="AO10">
            <v>1.2</v>
          </cell>
          <cell r="AP10">
            <v>0.0254</v>
          </cell>
          <cell r="AQ10">
            <v>0.0254</v>
          </cell>
          <cell r="AS10">
            <v>0.0707</v>
          </cell>
          <cell r="AU10">
            <v>1.2</v>
          </cell>
          <cell r="AV10">
            <v>0.0309</v>
          </cell>
          <cell r="AW10">
            <v>0.0214</v>
          </cell>
          <cell r="AX10">
            <v>0.0703</v>
          </cell>
          <cell r="AY10">
            <v>0.0488</v>
          </cell>
          <cell r="BA10">
            <v>1.2</v>
          </cell>
          <cell r="BB10">
            <v>0.0236</v>
          </cell>
          <cell r="BC10">
            <v>0.0142</v>
          </cell>
          <cell r="BD10">
            <v>0.056</v>
          </cell>
          <cell r="BE10">
            <v>0.0292</v>
          </cell>
          <cell r="BG10">
            <v>1.2</v>
          </cell>
          <cell r="BH10">
            <v>0.0249</v>
          </cell>
          <cell r="BI10">
            <v>0.0198</v>
          </cell>
          <cell r="BJ10">
            <v>0.053</v>
          </cell>
          <cell r="BK10">
            <v>0.0491</v>
          </cell>
          <cell r="BM10">
            <v>1.2</v>
          </cell>
          <cell r="BN10">
            <v>0.0102</v>
          </cell>
          <cell r="BO10">
            <v>0.0519</v>
          </cell>
          <cell r="BP10">
            <v>0.0536</v>
          </cell>
          <cell r="BQ10">
            <v>0.1</v>
          </cell>
          <cell r="BS10">
            <v>1.2</v>
          </cell>
          <cell r="BT10">
            <v>0.0389</v>
          </cell>
          <cell r="BU10">
            <v>0.0087</v>
          </cell>
          <cell r="BV10">
            <v>0.0712</v>
          </cell>
          <cell r="BW10">
            <v>0.0397</v>
          </cell>
        </row>
        <row r="11">
          <cell r="K11">
            <v>1.25</v>
          </cell>
          <cell r="L11">
            <v>0.0207</v>
          </cell>
          <cell r="M11">
            <v>0.0133</v>
          </cell>
          <cell r="N11">
            <v>0.0473</v>
          </cell>
          <cell r="O11">
            <v>0.0303</v>
          </cell>
          <cell r="Q11">
            <v>1.25</v>
          </cell>
          <cell r="R11">
            <v>0.044</v>
          </cell>
          <cell r="S11">
            <v>0.0282</v>
          </cell>
          <cell r="T11">
            <v>0</v>
          </cell>
          <cell r="U11">
            <v>0</v>
          </cell>
          <cell r="W11">
            <v>1.25</v>
          </cell>
          <cell r="X11">
            <v>0.0359</v>
          </cell>
          <cell r="Y11">
            <v>0.0179</v>
          </cell>
          <cell r="Z11">
            <v>0.0859</v>
          </cell>
          <cell r="AA11">
            <v>0</v>
          </cell>
          <cell r="AC11">
            <v>1.25</v>
          </cell>
          <cell r="AD11">
            <v>0.0363</v>
          </cell>
          <cell r="AE11">
            <v>0.028</v>
          </cell>
          <cell r="AF11">
            <v>0</v>
          </cell>
          <cell r="AG11">
            <v>0.0791</v>
          </cell>
          <cell r="AI11">
            <v>1.25</v>
          </cell>
          <cell r="AJ11">
            <v>0.0257</v>
          </cell>
          <cell r="AK11">
            <v>0.0106</v>
          </cell>
          <cell r="AL11">
            <v>0.0616</v>
          </cell>
          <cell r="AM11">
            <v>0</v>
          </cell>
          <cell r="AO11">
            <v>1.25</v>
          </cell>
          <cell r="AP11">
            <v>0.0271</v>
          </cell>
          <cell r="AQ11">
            <v>0.0248</v>
          </cell>
          <cell r="AS11">
            <v>0.07</v>
          </cell>
          <cell r="AU11">
            <v>1.25</v>
          </cell>
          <cell r="AV11">
            <v>0.0314</v>
          </cell>
          <cell r="AW11">
            <v>0.0202</v>
          </cell>
          <cell r="AX11">
            <v>0.071</v>
          </cell>
          <cell r="AY11">
            <v>0.0454</v>
          </cell>
          <cell r="BA11">
            <v>1.25</v>
          </cell>
          <cell r="BB11">
            <v>0.0236</v>
          </cell>
          <cell r="BC11">
            <v>0.0132</v>
          </cell>
          <cell r="BD11">
            <v>0.0552</v>
          </cell>
          <cell r="BE11">
            <v>0.0267</v>
          </cell>
          <cell r="BG11">
            <v>1.25</v>
          </cell>
          <cell r="BH11">
            <v>0.0258</v>
          </cell>
          <cell r="BI11">
            <v>0.0189</v>
          </cell>
          <cell r="BJ11">
            <v>0.0549</v>
          </cell>
          <cell r="BK11">
            <v>0.047</v>
          </cell>
          <cell r="BM11">
            <v>1.25</v>
          </cell>
          <cell r="BN11">
            <v>0.0101</v>
          </cell>
          <cell r="BO11">
            <v>0.053</v>
          </cell>
          <cell r="BP11">
            <v>0.0618</v>
          </cell>
          <cell r="BQ11">
            <v>0.1031</v>
          </cell>
          <cell r="BS11">
            <v>1.25</v>
          </cell>
          <cell r="BT11">
            <v>0.0376</v>
          </cell>
          <cell r="BU11">
            <v>0.0083</v>
          </cell>
          <cell r="BV11">
            <v>0.0685</v>
          </cell>
          <cell r="BW11">
            <v>0.0376</v>
          </cell>
        </row>
        <row r="12">
          <cell r="K12">
            <v>1.3</v>
          </cell>
          <cell r="L12">
            <v>0.0208</v>
          </cell>
          <cell r="M12">
            <v>0.0123</v>
          </cell>
          <cell r="N12">
            <v>0.0475</v>
          </cell>
          <cell r="O12">
            <v>0.0281</v>
          </cell>
          <cell r="Q12">
            <v>1.3</v>
          </cell>
          <cell r="R12">
            <v>0.0452</v>
          </cell>
          <cell r="S12">
            <v>0.0268</v>
          </cell>
          <cell r="T12">
            <v>0</v>
          </cell>
          <cell r="U12">
            <v>0</v>
          </cell>
          <cell r="W12">
            <v>1.3</v>
          </cell>
          <cell r="X12">
            <v>0.0359</v>
          </cell>
          <cell r="Y12">
            <v>0.0165</v>
          </cell>
          <cell r="Z12">
            <v>0.0843</v>
          </cell>
          <cell r="AA12">
            <v>0</v>
          </cell>
          <cell r="AC12">
            <v>1.3</v>
          </cell>
          <cell r="AD12">
            <v>0.0378</v>
          </cell>
          <cell r="AE12">
            <v>0.0269</v>
          </cell>
          <cell r="AF12">
            <v>0</v>
          </cell>
          <cell r="AG12">
            <v>0.076</v>
          </cell>
          <cell r="AI12">
            <v>1.3</v>
          </cell>
          <cell r="AJ12">
            <v>0.0254</v>
          </cell>
          <cell r="AK12">
            <v>0.0097</v>
          </cell>
          <cell r="AL12">
            <v>0.0599</v>
          </cell>
          <cell r="AM12">
            <v>0</v>
          </cell>
          <cell r="AO12">
            <v>1.3</v>
          </cell>
          <cell r="AP12">
            <v>0.0287</v>
          </cell>
          <cell r="AQ12">
            <v>0.0242</v>
          </cell>
          <cell r="AS12">
            <v>0.0689</v>
          </cell>
          <cell r="AU12">
            <v>1.3</v>
          </cell>
          <cell r="AV12">
            <v>0.0319</v>
          </cell>
          <cell r="AW12">
            <v>0.0188</v>
          </cell>
          <cell r="AX12">
            <v>0.0711</v>
          </cell>
          <cell r="AY12">
            <v>0.0421</v>
          </cell>
          <cell r="BA12">
            <v>1.3</v>
          </cell>
          <cell r="BB12">
            <v>0.0235</v>
          </cell>
          <cell r="BC12">
            <v>0.012</v>
          </cell>
          <cell r="BD12">
            <v>0.0545</v>
          </cell>
          <cell r="BE12">
            <v>0.0242</v>
          </cell>
          <cell r="BG12">
            <v>1.3</v>
          </cell>
          <cell r="BH12">
            <v>0.0266</v>
          </cell>
          <cell r="BI12">
            <v>0.0181</v>
          </cell>
          <cell r="BJ12">
            <v>0.0565</v>
          </cell>
          <cell r="BK12">
            <v>0.0447</v>
          </cell>
          <cell r="BM12">
            <v>1.3</v>
          </cell>
          <cell r="BN12">
            <v>0.01</v>
          </cell>
          <cell r="BO12">
            <v>0.054</v>
          </cell>
          <cell r="BP12">
            <v>0.07</v>
          </cell>
          <cell r="BQ12">
            <v>0.1062</v>
          </cell>
          <cell r="BS12">
            <v>1.3</v>
          </cell>
          <cell r="BT12">
            <v>0.0362</v>
          </cell>
          <cell r="BU12">
            <v>0.0079</v>
          </cell>
          <cell r="BV12">
            <v>0.0658</v>
          </cell>
          <cell r="BW12">
            <v>0.0354</v>
          </cell>
        </row>
        <row r="13">
          <cell r="K13">
            <v>1.35</v>
          </cell>
          <cell r="L13">
            <v>0.021</v>
          </cell>
          <cell r="M13">
            <v>0.0115</v>
          </cell>
          <cell r="N13">
            <v>0.0474</v>
          </cell>
          <cell r="O13">
            <v>0.0262</v>
          </cell>
          <cell r="Q13">
            <v>1.35</v>
          </cell>
          <cell r="R13">
            <v>0.0461</v>
          </cell>
          <cell r="S13">
            <v>0.0253</v>
          </cell>
          <cell r="T13">
            <v>0</v>
          </cell>
          <cell r="U13">
            <v>0</v>
          </cell>
          <cell r="W13">
            <v>1.35</v>
          </cell>
          <cell r="X13">
            <v>0.0358</v>
          </cell>
          <cell r="Y13">
            <v>0.0152</v>
          </cell>
          <cell r="Z13">
            <v>0.0827</v>
          </cell>
          <cell r="AA13">
            <v>0</v>
          </cell>
          <cell r="AC13">
            <v>1.35</v>
          </cell>
          <cell r="AD13">
            <v>0.0391</v>
          </cell>
          <cell r="AE13">
            <v>0.0258</v>
          </cell>
          <cell r="AF13">
            <v>0</v>
          </cell>
          <cell r="AG13">
            <v>0.0726</v>
          </cell>
          <cell r="AI13">
            <v>1.35</v>
          </cell>
          <cell r="AJ13">
            <v>0.025</v>
          </cell>
          <cell r="AK13">
            <v>0.0088</v>
          </cell>
          <cell r="AL13">
            <v>0.0582</v>
          </cell>
          <cell r="AM13">
            <v>0</v>
          </cell>
          <cell r="AO13">
            <v>1.35</v>
          </cell>
          <cell r="AP13">
            <v>0.0302</v>
          </cell>
          <cell r="AQ13">
            <v>0.0235</v>
          </cell>
          <cell r="AS13">
            <v>0.0676</v>
          </cell>
          <cell r="AU13">
            <v>1.35</v>
          </cell>
          <cell r="AV13">
            <v>0.032</v>
          </cell>
          <cell r="AW13">
            <v>0.0176</v>
          </cell>
          <cell r="AX13">
            <v>0.0711</v>
          </cell>
          <cell r="AY13">
            <v>0.0391</v>
          </cell>
          <cell r="BA13">
            <v>1.35</v>
          </cell>
          <cell r="BB13">
            <v>0.0233</v>
          </cell>
          <cell r="BC13">
            <v>0.011</v>
          </cell>
          <cell r="BD13">
            <v>0.0536</v>
          </cell>
          <cell r="BE13">
            <v>0.0222</v>
          </cell>
          <cell r="BG13">
            <v>1.35</v>
          </cell>
          <cell r="BH13">
            <v>0.0272</v>
          </cell>
          <cell r="BI13">
            <v>0.0172</v>
          </cell>
          <cell r="BJ13">
            <v>0.0577</v>
          </cell>
          <cell r="BK13">
            <v>0.0424</v>
          </cell>
          <cell r="BM13">
            <v>1.35</v>
          </cell>
          <cell r="BN13">
            <v>0.0099</v>
          </cell>
          <cell r="BO13">
            <v>0.0546</v>
          </cell>
          <cell r="BP13">
            <v>0.0731</v>
          </cell>
          <cell r="BQ13">
            <v>0.1089</v>
          </cell>
          <cell r="BS13">
            <v>1.35</v>
          </cell>
          <cell r="BT13">
            <v>0.0349</v>
          </cell>
          <cell r="BU13">
            <v>0.0075</v>
          </cell>
          <cell r="BV13">
            <v>0.0634</v>
          </cell>
          <cell r="BW13">
            <v>0.0335</v>
          </cell>
        </row>
        <row r="14">
          <cell r="K14">
            <v>1.4</v>
          </cell>
          <cell r="L14">
            <v>0.021</v>
          </cell>
          <cell r="M14">
            <v>0.0107</v>
          </cell>
          <cell r="N14">
            <v>0.0473</v>
          </cell>
          <cell r="O14">
            <v>0.024</v>
          </cell>
          <cell r="Q14">
            <v>1.4</v>
          </cell>
          <cell r="R14">
            <v>0.0469</v>
          </cell>
          <cell r="S14">
            <v>0.024</v>
          </cell>
          <cell r="T14">
            <v>0</v>
          </cell>
          <cell r="U14">
            <v>0</v>
          </cell>
          <cell r="W14">
            <v>1.4</v>
          </cell>
          <cell r="X14">
            <v>0.0357</v>
          </cell>
          <cell r="Y14">
            <v>0.014</v>
          </cell>
          <cell r="Z14">
            <v>0.0808</v>
          </cell>
          <cell r="AA14">
            <v>0</v>
          </cell>
          <cell r="AC14">
            <v>1.4</v>
          </cell>
          <cell r="AD14">
            <v>0.0401</v>
          </cell>
          <cell r="AE14">
            <v>0.0248</v>
          </cell>
          <cell r="AF14">
            <v>0</v>
          </cell>
          <cell r="AG14">
            <v>0.0688</v>
          </cell>
          <cell r="AI14">
            <v>1.4</v>
          </cell>
          <cell r="AJ14">
            <v>0.0245</v>
          </cell>
          <cell r="AK14">
            <v>0.008</v>
          </cell>
          <cell r="AL14">
            <v>0.0565</v>
          </cell>
          <cell r="AM14">
            <v>0</v>
          </cell>
          <cell r="AO14">
            <v>1.4</v>
          </cell>
          <cell r="AP14">
            <v>0.0316</v>
          </cell>
          <cell r="AQ14">
            <v>0.0229</v>
          </cell>
          <cell r="AS14">
            <v>0.066</v>
          </cell>
          <cell r="AU14">
            <v>1.4</v>
          </cell>
          <cell r="AV14">
            <v>0.0323</v>
          </cell>
          <cell r="AW14">
            <v>0.0165</v>
          </cell>
          <cell r="AX14">
            <v>0.0709</v>
          </cell>
          <cell r="AY14">
            <v>0.0361</v>
          </cell>
          <cell r="BA14">
            <v>1.4</v>
          </cell>
          <cell r="BB14">
            <v>0.023</v>
          </cell>
          <cell r="BC14">
            <v>0.0102</v>
          </cell>
          <cell r="BD14">
            <v>0.0526</v>
          </cell>
          <cell r="BE14">
            <v>0.0202</v>
          </cell>
          <cell r="BG14">
            <v>1.4</v>
          </cell>
          <cell r="BH14">
            <v>0.0279</v>
          </cell>
          <cell r="BI14">
            <v>0.0162</v>
          </cell>
          <cell r="BJ14">
            <v>0.0588</v>
          </cell>
          <cell r="BK14">
            <v>0.04</v>
          </cell>
          <cell r="BM14">
            <v>1.4</v>
          </cell>
          <cell r="BN14">
            <v>0.0097</v>
          </cell>
          <cell r="BO14">
            <v>0.0552</v>
          </cell>
          <cell r="BP14">
            <v>0.0761</v>
          </cell>
          <cell r="BQ14">
            <v>0.1115</v>
          </cell>
          <cell r="BS14">
            <v>1.4</v>
          </cell>
          <cell r="BT14">
            <v>0.0336</v>
          </cell>
          <cell r="BU14">
            <v>0.007</v>
          </cell>
          <cell r="BV14">
            <v>0.0609</v>
          </cell>
          <cell r="BW14">
            <v>0.0315</v>
          </cell>
        </row>
        <row r="15">
          <cell r="K15">
            <v>1.45</v>
          </cell>
          <cell r="L15">
            <v>0.0209</v>
          </cell>
          <cell r="M15">
            <v>0.01</v>
          </cell>
          <cell r="N15">
            <v>0.0469</v>
          </cell>
          <cell r="O15">
            <v>0.0223</v>
          </cell>
          <cell r="Q15">
            <v>1.45</v>
          </cell>
          <cell r="R15">
            <v>0.0475</v>
          </cell>
          <cell r="S15">
            <v>0.0225</v>
          </cell>
          <cell r="T15">
            <v>0</v>
          </cell>
          <cell r="U15">
            <v>0</v>
          </cell>
          <cell r="W15">
            <v>1.45</v>
          </cell>
          <cell r="X15">
            <v>0.0353</v>
          </cell>
          <cell r="Y15">
            <v>0.0128</v>
          </cell>
          <cell r="Z15">
            <v>0.079</v>
          </cell>
          <cell r="AA15">
            <v>0</v>
          </cell>
          <cell r="AC15">
            <v>1.45</v>
          </cell>
          <cell r="AD15">
            <v>0.0411</v>
          </cell>
          <cell r="AE15">
            <v>0.0237</v>
          </cell>
          <cell r="AF15">
            <v>0</v>
          </cell>
          <cell r="AG15">
            <v>0.0654</v>
          </cell>
          <cell r="AI15">
            <v>1.45</v>
          </cell>
          <cell r="AJ15">
            <v>0.024</v>
          </cell>
          <cell r="AK15">
            <v>0.0072</v>
          </cell>
          <cell r="AL15">
            <v>0.055</v>
          </cell>
          <cell r="AM15">
            <v>0</v>
          </cell>
          <cell r="AO15">
            <v>1.45</v>
          </cell>
          <cell r="AP15">
            <v>0.0329</v>
          </cell>
          <cell r="AQ15">
            <v>0.0222</v>
          </cell>
          <cell r="AS15">
            <v>0.0641</v>
          </cell>
          <cell r="AU15">
            <v>1.45</v>
          </cell>
          <cell r="AV15">
            <v>0.0324</v>
          </cell>
          <cell r="AW15">
            <v>0.0154</v>
          </cell>
          <cell r="AX15">
            <v>0.0703</v>
          </cell>
          <cell r="AY15">
            <v>0.0334</v>
          </cell>
          <cell r="BA15">
            <v>1.45</v>
          </cell>
          <cell r="BB15">
            <v>0.0228</v>
          </cell>
          <cell r="BC15">
            <v>0.0094</v>
          </cell>
          <cell r="BD15">
            <v>0.0516</v>
          </cell>
          <cell r="BE15">
            <v>0.0185</v>
          </cell>
          <cell r="BG15">
            <v>1.45</v>
          </cell>
          <cell r="BH15">
            <v>0.0282</v>
          </cell>
          <cell r="BI15">
            <v>0.0154</v>
          </cell>
          <cell r="BJ15">
            <v>0.0593</v>
          </cell>
          <cell r="BK15">
            <v>0.0377</v>
          </cell>
          <cell r="BM15">
            <v>1.45</v>
          </cell>
          <cell r="BN15">
            <v>0.0096</v>
          </cell>
          <cell r="BO15">
            <v>0.0544</v>
          </cell>
          <cell r="BP15">
            <v>0.0791</v>
          </cell>
          <cell r="BQ15">
            <v>0.1135</v>
          </cell>
          <cell r="BS15">
            <v>1.45</v>
          </cell>
          <cell r="BT15">
            <v>0.0324</v>
          </cell>
          <cell r="BU15">
            <v>0.0065</v>
          </cell>
          <cell r="BV15">
            <v>0.0586</v>
          </cell>
          <cell r="BW15">
            <v>0.0297</v>
          </cell>
        </row>
        <row r="16">
          <cell r="K16">
            <v>1.5</v>
          </cell>
          <cell r="L16">
            <v>0.0208</v>
          </cell>
          <cell r="M16">
            <v>0.0093</v>
          </cell>
          <cell r="N16">
            <v>0.0464</v>
          </cell>
          <cell r="O16">
            <v>0.0206</v>
          </cell>
          <cell r="Q16">
            <v>1.5</v>
          </cell>
          <cell r="R16">
            <v>0.048</v>
          </cell>
          <cell r="S16">
            <v>0.0214</v>
          </cell>
          <cell r="T16">
            <v>0</v>
          </cell>
          <cell r="U16">
            <v>0</v>
          </cell>
          <cell r="W16">
            <v>1.5</v>
          </cell>
          <cell r="X16">
            <v>0.035</v>
          </cell>
          <cell r="Y16">
            <v>0.0119</v>
          </cell>
          <cell r="Z16">
            <v>0.0772</v>
          </cell>
          <cell r="AA16">
            <v>0</v>
          </cell>
          <cell r="AC16">
            <v>1.5</v>
          </cell>
          <cell r="AD16">
            <v>0.042</v>
          </cell>
          <cell r="AE16">
            <v>0.0228</v>
          </cell>
          <cell r="AF16">
            <v>0</v>
          </cell>
          <cell r="AG16">
            <v>0.062</v>
          </cell>
          <cell r="AI16">
            <v>1.5</v>
          </cell>
          <cell r="AJ16">
            <v>0.0235</v>
          </cell>
          <cell r="AK16">
            <v>0.0066</v>
          </cell>
          <cell r="AL16">
            <v>0.0533</v>
          </cell>
          <cell r="AM16">
            <v>0</v>
          </cell>
          <cell r="AO16">
            <v>1.5</v>
          </cell>
          <cell r="AP16">
            <v>0.0341</v>
          </cell>
          <cell r="AQ16">
            <v>0.0214</v>
          </cell>
          <cell r="AS16">
            <v>0.0621</v>
          </cell>
          <cell r="AU16">
            <v>1.5</v>
          </cell>
          <cell r="AV16">
            <v>0.0324</v>
          </cell>
          <cell r="AW16">
            <v>0.0144</v>
          </cell>
          <cell r="AX16">
            <v>0.0695</v>
          </cell>
          <cell r="AY16">
            <v>0.031</v>
          </cell>
          <cell r="BA16">
            <v>1.5</v>
          </cell>
          <cell r="BB16">
            <v>0.0225</v>
          </cell>
          <cell r="BC16">
            <v>0.0086</v>
          </cell>
          <cell r="BD16">
            <v>0.0506</v>
          </cell>
          <cell r="BE16">
            <v>0.0169</v>
          </cell>
          <cell r="BG16">
            <v>1.5</v>
          </cell>
          <cell r="BH16">
            <v>0.0285</v>
          </cell>
          <cell r="BI16">
            <v>0.0146</v>
          </cell>
          <cell r="BJ16">
            <v>0.0597</v>
          </cell>
          <cell r="BK16">
            <v>0.0354</v>
          </cell>
          <cell r="BM16">
            <v>1.5</v>
          </cell>
          <cell r="BN16">
            <v>0.0095</v>
          </cell>
          <cell r="BO16">
            <v>0.0536</v>
          </cell>
          <cell r="BP16">
            <v>0.0821</v>
          </cell>
          <cell r="BQ16">
            <v>0.1155</v>
          </cell>
          <cell r="BS16">
            <v>1.5</v>
          </cell>
          <cell r="BT16">
            <v>0.0311</v>
          </cell>
          <cell r="BU16">
            <v>0.0059</v>
          </cell>
          <cell r="BV16">
            <v>0.0562</v>
          </cell>
          <cell r="BW16">
            <v>0.0279</v>
          </cell>
        </row>
        <row r="17">
          <cell r="K17">
            <v>1.55</v>
          </cell>
          <cell r="L17">
            <v>0.0206</v>
          </cell>
          <cell r="M17">
            <v>0.0086</v>
          </cell>
          <cell r="N17">
            <v>0.0459</v>
          </cell>
          <cell r="O17">
            <v>0.0191</v>
          </cell>
          <cell r="Q17">
            <v>1.55</v>
          </cell>
          <cell r="R17">
            <v>0.0484</v>
          </cell>
          <cell r="S17">
            <v>0.0201</v>
          </cell>
          <cell r="T17">
            <v>0</v>
          </cell>
          <cell r="U17">
            <v>0</v>
          </cell>
          <cell r="W17">
            <v>1.55</v>
          </cell>
          <cell r="X17">
            <v>0.0346</v>
          </cell>
          <cell r="Y17">
            <v>0.0109</v>
          </cell>
          <cell r="Z17">
            <v>0.0754</v>
          </cell>
          <cell r="AA17">
            <v>0</v>
          </cell>
          <cell r="AC17">
            <v>1.55</v>
          </cell>
          <cell r="AD17">
            <v>0.0427</v>
          </cell>
          <cell r="AE17">
            <v>0.0219</v>
          </cell>
          <cell r="AF17">
            <v>0</v>
          </cell>
          <cell r="AG17">
            <v>0.0585</v>
          </cell>
          <cell r="AI17">
            <v>1.55</v>
          </cell>
          <cell r="AJ17">
            <v>0.023</v>
          </cell>
          <cell r="AK17">
            <v>0.006</v>
          </cell>
          <cell r="AL17">
            <v>0.0519</v>
          </cell>
          <cell r="AM17">
            <v>0</v>
          </cell>
          <cell r="AO17">
            <v>1.55</v>
          </cell>
          <cell r="AP17">
            <v>0.0352</v>
          </cell>
          <cell r="AQ17">
            <v>0.0207</v>
          </cell>
          <cell r="AS17">
            <v>0.0599</v>
          </cell>
          <cell r="AU17">
            <v>1.55</v>
          </cell>
          <cell r="AV17">
            <v>0.0323</v>
          </cell>
          <cell r="AW17">
            <v>0.0134</v>
          </cell>
          <cell r="AX17">
            <v>0.0686</v>
          </cell>
          <cell r="AY17">
            <v>0.0286</v>
          </cell>
          <cell r="BA17">
            <v>1.55</v>
          </cell>
          <cell r="BB17">
            <v>0.0221</v>
          </cell>
          <cell r="BC17">
            <v>0.0079</v>
          </cell>
          <cell r="BD17">
            <v>0.0495</v>
          </cell>
          <cell r="BE17">
            <v>0.0155</v>
          </cell>
          <cell r="BG17">
            <v>1.55</v>
          </cell>
          <cell r="BH17">
            <v>0.0289</v>
          </cell>
          <cell r="BI17">
            <v>0.0138</v>
          </cell>
          <cell r="BJ17">
            <v>0.0599</v>
          </cell>
          <cell r="BK17">
            <v>0.0332</v>
          </cell>
        </row>
        <row r="18">
          <cell r="K18">
            <v>1.6</v>
          </cell>
          <cell r="L18">
            <v>0.0205</v>
          </cell>
          <cell r="M18">
            <v>0.008</v>
          </cell>
          <cell r="N18">
            <v>0.0452</v>
          </cell>
          <cell r="O18">
            <v>0.0177</v>
          </cell>
          <cell r="Q18">
            <v>1.6</v>
          </cell>
          <cell r="R18">
            <v>0.0485</v>
          </cell>
          <cell r="S18">
            <v>0.0189</v>
          </cell>
          <cell r="T18">
            <v>0</v>
          </cell>
          <cell r="U18">
            <v>0</v>
          </cell>
          <cell r="W18">
            <v>1.6</v>
          </cell>
          <cell r="X18">
            <v>0.0341</v>
          </cell>
          <cell r="Y18">
            <v>0.0101</v>
          </cell>
          <cell r="Z18">
            <v>0.0735</v>
          </cell>
          <cell r="AA18">
            <v>0</v>
          </cell>
          <cell r="AC18">
            <v>1.6</v>
          </cell>
          <cell r="AD18">
            <v>0.0433</v>
          </cell>
          <cell r="AE18">
            <v>0.0208</v>
          </cell>
          <cell r="AF18">
            <v>0</v>
          </cell>
          <cell r="AG18">
            <v>0.0553</v>
          </cell>
          <cell r="AI18">
            <v>1.6</v>
          </cell>
          <cell r="AJ18">
            <v>0.0226</v>
          </cell>
          <cell r="AK18">
            <v>0.0056</v>
          </cell>
          <cell r="AL18">
            <v>0.0506</v>
          </cell>
          <cell r="AM18">
            <v>0</v>
          </cell>
          <cell r="AO18">
            <v>1.6</v>
          </cell>
          <cell r="AP18">
            <v>0.0362</v>
          </cell>
          <cell r="AQ18">
            <v>0.02</v>
          </cell>
          <cell r="AS18">
            <v>0.0577</v>
          </cell>
          <cell r="AU18">
            <v>1.6</v>
          </cell>
          <cell r="AV18">
            <v>0.0321</v>
          </cell>
          <cell r="AW18">
            <v>0.0125</v>
          </cell>
          <cell r="AX18">
            <v>0.0678</v>
          </cell>
          <cell r="AY18">
            <v>0.0265</v>
          </cell>
          <cell r="BA18">
            <v>1.6</v>
          </cell>
          <cell r="BB18">
            <v>0.0218</v>
          </cell>
          <cell r="BC18">
            <v>0.0073</v>
          </cell>
          <cell r="BD18">
            <v>0.0484</v>
          </cell>
          <cell r="BE18">
            <v>0.0142</v>
          </cell>
          <cell r="BG18">
            <v>1.6</v>
          </cell>
          <cell r="BH18">
            <v>0.0289</v>
          </cell>
          <cell r="BI18">
            <v>0.013</v>
          </cell>
          <cell r="BJ18">
            <v>0.0599</v>
          </cell>
          <cell r="BK18">
            <v>0.0312</v>
          </cell>
        </row>
        <row r="19">
          <cell r="K19">
            <v>1.65</v>
          </cell>
          <cell r="L19">
            <v>0.0202</v>
          </cell>
          <cell r="M19">
            <v>0.0074</v>
          </cell>
          <cell r="N19">
            <v>0.0446</v>
          </cell>
          <cell r="O19">
            <v>0.0164</v>
          </cell>
          <cell r="Q19">
            <v>1.65</v>
          </cell>
          <cell r="R19">
            <v>0.0486</v>
          </cell>
          <cell r="S19">
            <v>0.0179</v>
          </cell>
          <cell r="T19">
            <v>0</v>
          </cell>
          <cell r="U19">
            <v>0</v>
          </cell>
          <cell r="W19">
            <v>1.65</v>
          </cell>
          <cell r="X19">
            <v>0.0338</v>
          </cell>
          <cell r="Y19">
            <v>0.0093</v>
          </cell>
          <cell r="Z19">
            <v>0.0718</v>
          </cell>
          <cell r="AA19">
            <v>0</v>
          </cell>
          <cell r="AC19">
            <v>1.65</v>
          </cell>
          <cell r="AD19">
            <v>0.0437</v>
          </cell>
          <cell r="AE19">
            <v>0.0198</v>
          </cell>
          <cell r="AF19">
            <v>0</v>
          </cell>
          <cell r="AG19">
            <v>0.0519</v>
          </cell>
          <cell r="AI19">
            <v>1.65</v>
          </cell>
          <cell r="AJ19">
            <v>0.0221</v>
          </cell>
          <cell r="AK19">
            <v>0.0051</v>
          </cell>
          <cell r="AL19">
            <v>0.0493</v>
          </cell>
          <cell r="AM19">
            <v>0</v>
          </cell>
          <cell r="AO19">
            <v>1.65</v>
          </cell>
          <cell r="AP19">
            <v>0.0369</v>
          </cell>
          <cell r="AQ19">
            <v>0.0193</v>
          </cell>
          <cell r="AS19">
            <v>0.0555</v>
          </cell>
          <cell r="AU19">
            <v>1.65</v>
          </cell>
          <cell r="AV19">
            <v>0.0319</v>
          </cell>
          <cell r="AW19">
            <v>0.0117</v>
          </cell>
          <cell r="AX19">
            <v>0.0668</v>
          </cell>
          <cell r="AY19">
            <v>0.0245</v>
          </cell>
          <cell r="BA19">
            <v>1.65</v>
          </cell>
          <cell r="BB19">
            <v>0.0214</v>
          </cell>
          <cell r="BC19">
            <v>0.0067</v>
          </cell>
          <cell r="BD19">
            <v>0.0473</v>
          </cell>
          <cell r="BE19">
            <v>0.0131</v>
          </cell>
          <cell r="BG19">
            <v>1.65</v>
          </cell>
          <cell r="BH19">
            <v>0.029</v>
          </cell>
          <cell r="BI19">
            <v>0.0123</v>
          </cell>
          <cell r="BJ19">
            <v>0.0597</v>
          </cell>
          <cell r="BK19">
            <v>0.0293</v>
          </cell>
        </row>
        <row r="20">
          <cell r="K20">
            <v>1.7</v>
          </cell>
          <cell r="L20">
            <v>0.02</v>
          </cell>
          <cell r="M20">
            <v>0.0069</v>
          </cell>
          <cell r="N20">
            <v>0.0438</v>
          </cell>
          <cell r="O20">
            <v>0.0152</v>
          </cell>
          <cell r="Q20">
            <v>1.7</v>
          </cell>
          <cell r="R20">
            <v>0.0488</v>
          </cell>
          <cell r="S20">
            <v>0.0169</v>
          </cell>
          <cell r="T20">
            <v>0</v>
          </cell>
          <cell r="U20">
            <v>0</v>
          </cell>
          <cell r="W20">
            <v>1.7</v>
          </cell>
          <cell r="X20">
            <v>0.0333</v>
          </cell>
          <cell r="Y20">
            <v>0.0086</v>
          </cell>
          <cell r="Z20">
            <v>0.0701</v>
          </cell>
          <cell r="AA20">
            <v>0</v>
          </cell>
          <cell r="AC20">
            <v>1.7</v>
          </cell>
          <cell r="AD20">
            <v>0.0444</v>
          </cell>
          <cell r="AE20">
            <v>0.019</v>
          </cell>
          <cell r="AF20">
            <v>0</v>
          </cell>
          <cell r="AG20">
            <v>0.0489</v>
          </cell>
          <cell r="AI20">
            <v>1.7</v>
          </cell>
          <cell r="AJ20">
            <v>0.0217</v>
          </cell>
          <cell r="AK20">
            <v>0.0047</v>
          </cell>
          <cell r="AL20">
            <v>0.0476</v>
          </cell>
          <cell r="AM20">
            <v>0</v>
          </cell>
          <cell r="AO20">
            <v>1.7</v>
          </cell>
          <cell r="AP20">
            <v>0.0376</v>
          </cell>
          <cell r="AQ20">
            <v>0.0186</v>
          </cell>
          <cell r="AS20">
            <v>0.0531</v>
          </cell>
          <cell r="AU20">
            <v>1.7</v>
          </cell>
          <cell r="AV20">
            <v>0.0316</v>
          </cell>
          <cell r="AW20">
            <v>0.0109</v>
          </cell>
          <cell r="AX20">
            <v>0.0657</v>
          </cell>
          <cell r="AY20">
            <v>0.0228</v>
          </cell>
          <cell r="BA20">
            <v>1.7</v>
          </cell>
          <cell r="BB20">
            <v>0.021</v>
          </cell>
          <cell r="BC20">
            <v>0.0062</v>
          </cell>
          <cell r="BD20">
            <v>0.0462</v>
          </cell>
          <cell r="BE20">
            <v>0.012</v>
          </cell>
          <cell r="BG20">
            <v>1.7</v>
          </cell>
          <cell r="BH20">
            <v>0.029</v>
          </cell>
          <cell r="BI20">
            <v>0.0116</v>
          </cell>
          <cell r="BJ20">
            <v>0.0594</v>
          </cell>
          <cell r="BK20">
            <v>0.0274</v>
          </cell>
        </row>
        <row r="21">
          <cell r="K21">
            <v>1.75</v>
          </cell>
          <cell r="L21">
            <v>0.0197</v>
          </cell>
          <cell r="M21">
            <v>0.0064</v>
          </cell>
          <cell r="N21">
            <v>0.0431</v>
          </cell>
          <cell r="O21">
            <v>0.0141</v>
          </cell>
          <cell r="Q21">
            <v>1.75</v>
          </cell>
          <cell r="R21">
            <v>0.0486</v>
          </cell>
          <cell r="S21">
            <v>0.0158</v>
          </cell>
          <cell r="T21">
            <v>0</v>
          </cell>
          <cell r="U21">
            <v>0</v>
          </cell>
          <cell r="W21">
            <v>1.75</v>
          </cell>
          <cell r="X21">
            <v>0.0329</v>
          </cell>
          <cell r="Y21">
            <v>0.008</v>
          </cell>
          <cell r="Z21">
            <v>0.0685</v>
          </cell>
          <cell r="AA21">
            <v>0</v>
          </cell>
          <cell r="AC21">
            <v>1.75</v>
          </cell>
          <cell r="AD21">
            <v>0.0443</v>
          </cell>
          <cell r="AE21">
            <v>0.0181</v>
          </cell>
          <cell r="AF21">
            <v>0</v>
          </cell>
          <cell r="AG21">
            <v>0.046</v>
          </cell>
          <cell r="AI21">
            <v>1.75</v>
          </cell>
          <cell r="AJ21">
            <v>0.0212</v>
          </cell>
          <cell r="AK21">
            <v>0.0043</v>
          </cell>
          <cell r="AL21">
            <v>0.0466</v>
          </cell>
          <cell r="AM21">
            <v>0</v>
          </cell>
          <cell r="AO21">
            <v>1.75</v>
          </cell>
          <cell r="AP21">
            <v>0.0383</v>
          </cell>
          <cell r="AQ21">
            <v>0.0179</v>
          </cell>
          <cell r="AS21">
            <v>0.0507</v>
          </cell>
          <cell r="AU21">
            <v>1.75</v>
          </cell>
          <cell r="AV21">
            <v>0.0313</v>
          </cell>
          <cell r="AW21">
            <v>0.0097</v>
          </cell>
          <cell r="AX21">
            <v>0.0645</v>
          </cell>
          <cell r="AY21">
            <v>0.0211</v>
          </cell>
          <cell r="BA21">
            <v>1.75</v>
          </cell>
          <cell r="BB21">
            <v>0.0206</v>
          </cell>
          <cell r="BC21">
            <v>0.0058</v>
          </cell>
          <cell r="BD21">
            <v>0.0452</v>
          </cell>
          <cell r="BE21">
            <v>0.0112</v>
          </cell>
          <cell r="BG21">
            <v>1.75</v>
          </cell>
          <cell r="BH21">
            <v>0.029</v>
          </cell>
          <cell r="BI21">
            <v>0.0109</v>
          </cell>
          <cell r="BJ21">
            <v>0.0589</v>
          </cell>
          <cell r="BK21">
            <v>0.0256</v>
          </cell>
        </row>
        <row r="22">
          <cell r="K22">
            <v>1.8</v>
          </cell>
          <cell r="L22">
            <v>0.0195</v>
          </cell>
          <cell r="M22">
            <v>0.006</v>
          </cell>
          <cell r="N22">
            <v>0.0423</v>
          </cell>
          <cell r="O22">
            <v>0.0131</v>
          </cell>
          <cell r="Q22">
            <v>1.8</v>
          </cell>
          <cell r="R22">
            <v>0.0485</v>
          </cell>
          <cell r="S22">
            <v>0.0148</v>
          </cell>
          <cell r="T22">
            <v>0</v>
          </cell>
          <cell r="U22">
            <v>0</v>
          </cell>
          <cell r="W22">
            <v>1.8</v>
          </cell>
          <cell r="X22">
            <v>0.0326</v>
          </cell>
          <cell r="Y22">
            <v>0.0075</v>
          </cell>
          <cell r="Z22">
            <v>0.0668</v>
          </cell>
          <cell r="AA22">
            <v>0</v>
          </cell>
          <cell r="AC22">
            <v>1.8</v>
          </cell>
          <cell r="AD22">
            <v>0.0444</v>
          </cell>
          <cell r="AE22">
            <v>0.0172</v>
          </cell>
          <cell r="AF22">
            <v>0</v>
          </cell>
          <cell r="AG22">
            <v>0.0432</v>
          </cell>
          <cell r="AI22">
            <v>1.8</v>
          </cell>
          <cell r="AJ22">
            <v>0.0208</v>
          </cell>
          <cell r="AK22">
            <v>0.004</v>
          </cell>
          <cell r="AL22">
            <v>0.0454</v>
          </cell>
          <cell r="AM22">
            <v>0</v>
          </cell>
          <cell r="AO22">
            <v>1.8</v>
          </cell>
          <cell r="AP22">
            <v>0.0388</v>
          </cell>
          <cell r="AQ22">
            <v>0.0172</v>
          </cell>
          <cell r="AS22">
            <v>0.0484</v>
          </cell>
          <cell r="AU22">
            <v>1.8</v>
          </cell>
          <cell r="AV22">
            <v>0.0308</v>
          </cell>
          <cell r="AW22">
            <v>0.0096</v>
          </cell>
          <cell r="AX22">
            <v>0.0635</v>
          </cell>
          <cell r="AY22">
            <v>0.0196</v>
          </cell>
          <cell r="BA22">
            <v>1.8</v>
          </cell>
          <cell r="BB22">
            <v>0.0203</v>
          </cell>
          <cell r="BC22">
            <v>0.0054</v>
          </cell>
          <cell r="BD22">
            <v>0.0442</v>
          </cell>
          <cell r="BE22">
            <v>0.0102</v>
          </cell>
          <cell r="BG22">
            <v>1.8</v>
          </cell>
          <cell r="BH22">
            <v>0.0288</v>
          </cell>
          <cell r="BI22">
            <v>0.0103</v>
          </cell>
          <cell r="BJ22">
            <v>0.0583</v>
          </cell>
          <cell r="BK22">
            <v>0.024</v>
          </cell>
        </row>
        <row r="23">
          <cell r="K23">
            <v>1.85</v>
          </cell>
          <cell r="L23">
            <v>0.0192</v>
          </cell>
          <cell r="M23">
            <v>0.0056</v>
          </cell>
          <cell r="N23">
            <v>0.0415</v>
          </cell>
          <cell r="O23">
            <v>0.0122</v>
          </cell>
          <cell r="Q23">
            <v>1.85</v>
          </cell>
          <cell r="R23">
            <v>0.0484</v>
          </cell>
          <cell r="S23">
            <v>0.014</v>
          </cell>
          <cell r="T23">
            <v>0</v>
          </cell>
          <cell r="U23">
            <v>0</v>
          </cell>
          <cell r="W23">
            <v>1.85</v>
          </cell>
          <cell r="X23">
            <v>0.0321</v>
          </cell>
          <cell r="Y23">
            <v>0.0069</v>
          </cell>
          <cell r="Z23">
            <v>0.0653</v>
          </cell>
          <cell r="AA23">
            <v>0</v>
          </cell>
          <cell r="AC23">
            <v>1.85</v>
          </cell>
          <cell r="AD23">
            <v>0.0445</v>
          </cell>
          <cell r="AE23">
            <v>0.0165</v>
          </cell>
          <cell r="AF23">
            <v>0</v>
          </cell>
          <cell r="AG23">
            <v>0.0407</v>
          </cell>
          <cell r="AI23">
            <v>1.85</v>
          </cell>
          <cell r="AJ23">
            <v>0.0204</v>
          </cell>
          <cell r="AK23">
            <v>0.0037</v>
          </cell>
          <cell r="AL23">
            <v>0.0443</v>
          </cell>
          <cell r="AM23">
            <v>0</v>
          </cell>
          <cell r="AO23">
            <v>1.85</v>
          </cell>
          <cell r="AP23">
            <v>0.0393</v>
          </cell>
          <cell r="AQ23">
            <v>0.0165</v>
          </cell>
          <cell r="AS23">
            <v>0.0461</v>
          </cell>
          <cell r="AU23">
            <v>1.85</v>
          </cell>
          <cell r="AV23">
            <v>0.0306</v>
          </cell>
          <cell r="AW23">
            <v>0.0089</v>
          </cell>
          <cell r="AX23">
            <v>0.0622</v>
          </cell>
          <cell r="AY23">
            <v>0.0183</v>
          </cell>
          <cell r="BA23">
            <v>1.85</v>
          </cell>
          <cell r="BB23">
            <v>0.02</v>
          </cell>
          <cell r="BC23">
            <v>0.005</v>
          </cell>
          <cell r="BD23">
            <v>0.0432</v>
          </cell>
          <cell r="BE23">
            <v>0.0095</v>
          </cell>
          <cell r="BG23">
            <v>1.85</v>
          </cell>
          <cell r="BH23">
            <v>0.0286</v>
          </cell>
          <cell r="BI23">
            <v>0.0097</v>
          </cell>
          <cell r="BJ23">
            <v>0.0576</v>
          </cell>
          <cell r="BK23">
            <v>0.0225</v>
          </cell>
        </row>
        <row r="24">
          <cell r="K24">
            <v>1.9</v>
          </cell>
          <cell r="L24">
            <v>0.019</v>
          </cell>
          <cell r="M24">
            <v>0.0052</v>
          </cell>
          <cell r="N24">
            <v>0.0408</v>
          </cell>
          <cell r="O24">
            <v>0.0113</v>
          </cell>
          <cell r="Q24">
            <v>1.9</v>
          </cell>
          <cell r="R24">
            <v>0.048</v>
          </cell>
          <cell r="S24">
            <v>0.0133</v>
          </cell>
          <cell r="T24">
            <v>0</v>
          </cell>
          <cell r="U24">
            <v>0</v>
          </cell>
          <cell r="W24">
            <v>1.9</v>
          </cell>
          <cell r="X24">
            <v>0.0316</v>
          </cell>
          <cell r="Y24">
            <v>0.0064</v>
          </cell>
          <cell r="Z24">
            <v>0.0638</v>
          </cell>
          <cell r="AA24">
            <v>0</v>
          </cell>
          <cell r="AC24">
            <v>1.9</v>
          </cell>
          <cell r="AD24">
            <v>0.0445</v>
          </cell>
          <cell r="AE24">
            <v>0.0157</v>
          </cell>
          <cell r="AF24">
            <v>0</v>
          </cell>
          <cell r="AG24">
            <v>0.0332</v>
          </cell>
          <cell r="AI24">
            <v>1.9</v>
          </cell>
          <cell r="AJ24">
            <v>0.0199</v>
          </cell>
          <cell r="AK24">
            <v>0.0034</v>
          </cell>
          <cell r="AL24">
            <v>0.0432</v>
          </cell>
          <cell r="AM24">
            <v>0</v>
          </cell>
          <cell r="AO24">
            <v>1.9</v>
          </cell>
          <cell r="AP24">
            <v>0.0396</v>
          </cell>
          <cell r="AQ24">
            <v>0.0158</v>
          </cell>
          <cell r="AS24">
            <v>0.0439</v>
          </cell>
          <cell r="AU24">
            <v>1.9</v>
          </cell>
          <cell r="AV24">
            <v>0.0302</v>
          </cell>
          <cell r="AW24">
            <v>0.0084</v>
          </cell>
          <cell r="AX24">
            <v>0.0612</v>
          </cell>
          <cell r="AY24">
            <v>0.0169</v>
          </cell>
          <cell r="BA24">
            <v>1.9</v>
          </cell>
          <cell r="BB24">
            <v>0.0196</v>
          </cell>
          <cell r="BC24">
            <v>0.0046</v>
          </cell>
          <cell r="BD24">
            <v>0.0422</v>
          </cell>
          <cell r="BE24">
            <v>0.0088</v>
          </cell>
          <cell r="BG24">
            <v>1.9</v>
          </cell>
          <cell r="BH24">
            <v>0.0284</v>
          </cell>
          <cell r="BI24">
            <v>0.0092</v>
          </cell>
          <cell r="BJ24">
            <v>0.057</v>
          </cell>
          <cell r="BK24">
            <v>0.0212</v>
          </cell>
        </row>
        <row r="25">
          <cell r="K25">
            <v>1.95</v>
          </cell>
          <cell r="L25">
            <v>0.0186</v>
          </cell>
          <cell r="M25">
            <v>0.0049</v>
          </cell>
          <cell r="N25">
            <v>0.04</v>
          </cell>
          <cell r="O25">
            <v>0.0107</v>
          </cell>
          <cell r="Q25">
            <v>1.95</v>
          </cell>
          <cell r="R25">
            <v>0.0476</v>
          </cell>
          <cell r="S25">
            <v>0.0125</v>
          </cell>
          <cell r="T25">
            <v>0</v>
          </cell>
          <cell r="U25">
            <v>0</v>
          </cell>
          <cell r="W25">
            <v>1.95</v>
          </cell>
          <cell r="X25">
            <v>0.031</v>
          </cell>
          <cell r="Y25">
            <v>0.006</v>
          </cell>
          <cell r="Z25">
            <v>0.0624</v>
          </cell>
          <cell r="AA25">
            <v>0</v>
          </cell>
          <cell r="AC25">
            <v>1.95</v>
          </cell>
          <cell r="AD25">
            <v>0.0444</v>
          </cell>
          <cell r="AE25">
            <v>0.0149</v>
          </cell>
          <cell r="AF25">
            <v>0</v>
          </cell>
          <cell r="AG25">
            <v>0.0339</v>
          </cell>
          <cell r="AI25">
            <v>1.95</v>
          </cell>
          <cell r="AJ25">
            <v>0.0196</v>
          </cell>
          <cell r="AK25">
            <v>0.0032</v>
          </cell>
          <cell r="AL25">
            <v>0.0422</v>
          </cell>
          <cell r="AM25">
            <v>0</v>
          </cell>
          <cell r="AO25">
            <v>1.95</v>
          </cell>
          <cell r="AP25">
            <v>0.0398</v>
          </cell>
          <cell r="AQ25">
            <v>0.0152</v>
          </cell>
          <cell r="AS25">
            <v>0.0118</v>
          </cell>
          <cell r="AU25">
            <v>1.95</v>
          </cell>
          <cell r="AV25">
            <v>0.0299</v>
          </cell>
          <cell r="AW25">
            <v>0.0078</v>
          </cell>
          <cell r="AX25">
            <v>0.0599</v>
          </cell>
          <cell r="AY25">
            <v>0.016</v>
          </cell>
          <cell r="BA25">
            <v>1.95</v>
          </cell>
          <cell r="BB25">
            <v>0.0192</v>
          </cell>
          <cell r="BC25">
            <v>0.0043</v>
          </cell>
          <cell r="BD25">
            <v>0.0413</v>
          </cell>
          <cell r="BE25">
            <v>0.0082</v>
          </cell>
          <cell r="BG25">
            <v>1.95</v>
          </cell>
          <cell r="BH25">
            <v>0.0282</v>
          </cell>
          <cell r="BI25">
            <v>0.0086</v>
          </cell>
          <cell r="BJ25">
            <v>0.0562</v>
          </cell>
          <cell r="BK25">
            <v>0.0198</v>
          </cell>
        </row>
        <row r="26">
          <cell r="K26">
            <v>2</v>
          </cell>
          <cell r="L26">
            <v>0.0183</v>
          </cell>
          <cell r="M26">
            <v>0.0046</v>
          </cell>
          <cell r="N26">
            <v>0.0392</v>
          </cell>
          <cell r="O26">
            <v>0.0098</v>
          </cell>
          <cell r="Q26">
            <v>2</v>
          </cell>
          <cell r="R26">
            <v>0.0473</v>
          </cell>
          <cell r="S26">
            <v>0.0118</v>
          </cell>
          <cell r="T26">
            <v>0</v>
          </cell>
          <cell r="U26">
            <v>0</v>
          </cell>
          <cell r="W26">
            <v>2</v>
          </cell>
          <cell r="X26">
            <v>0.0303</v>
          </cell>
          <cell r="Y26">
            <v>0.0056</v>
          </cell>
          <cell r="Z26">
            <v>0.061</v>
          </cell>
          <cell r="AA26">
            <v>0</v>
          </cell>
          <cell r="AC26">
            <v>2</v>
          </cell>
          <cell r="AD26">
            <v>0.0443</v>
          </cell>
          <cell r="AE26">
            <v>0.0142</v>
          </cell>
          <cell r="AF26">
            <v>0</v>
          </cell>
          <cell r="AG26">
            <v>0.0338</v>
          </cell>
          <cell r="AI26">
            <v>2</v>
          </cell>
          <cell r="AJ26">
            <v>0.0193</v>
          </cell>
          <cell r="AK26">
            <v>0.003</v>
          </cell>
          <cell r="AL26">
            <v>0.0412</v>
          </cell>
          <cell r="AM26">
            <v>0</v>
          </cell>
          <cell r="AO26">
            <v>2</v>
          </cell>
          <cell r="AP26">
            <v>0.04</v>
          </cell>
          <cell r="AQ26">
            <v>0.0146</v>
          </cell>
          <cell r="AS26">
            <v>0.0397</v>
          </cell>
          <cell r="AU26">
            <v>2</v>
          </cell>
          <cell r="AV26">
            <v>0.0294</v>
          </cell>
          <cell r="AW26">
            <v>0.0074</v>
          </cell>
          <cell r="AX26">
            <v>0.0588</v>
          </cell>
          <cell r="AY26">
            <v>0.0117</v>
          </cell>
          <cell r="BA26">
            <v>2</v>
          </cell>
          <cell r="BB26">
            <v>0.0189</v>
          </cell>
          <cell r="BC26">
            <v>0.004</v>
          </cell>
          <cell r="BD26">
            <v>0.0404</v>
          </cell>
          <cell r="BE26">
            <v>0.0076</v>
          </cell>
          <cell r="BG26">
            <v>2</v>
          </cell>
          <cell r="BH26">
            <v>0.028</v>
          </cell>
          <cell r="BI26">
            <v>0.0081</v>
          </cell>
          <cell r="BJ26">
            <v>0.0555</v>
          </cell>
          <cell r="BK26">
            <v>0.0187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vmlDrawing" Target="../drawings/vmlDrawing8.vml" /><Relationship Id="rId7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vmlDrawing" Target="../drawings/vmlDrawing9.vml" /><Relationship Id="rId7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vmlDrawing" Target="../drawings/vmlDrawing4.vml" /><Relationship Id="rId1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vmlDrawing" Target="../drawings/vmlDrawing5.vml" /><Relationship Id="rId8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13" sqref="F13"/>
    </sheetView>
  </sheetViews>
  <sheetFormatPr defaultColWidth="9.140625" defaultRowHeight="12.75"/>
  <cols>
    <col min="1" max="2" width="11.421875" style="31" bestFit="1" customWidth="1"/>
    <col min="3" max="3" width="12.421875" style="31" bestFit="1" customWidth="1"/>
    <col min="4" max="4" width="11.28125" style="31" bestFit="1" customWidth="1"/>
    <col min="5" max="5" width="10.28125" style="31" customWidth="1"/>
    <col min="6" max="6" width="11.28125" style="31" bestFit="1" customWidth="1"/>
    <col min="7" max="7" width="9.140625" style="31" customWidth="1"/>
    <col min="8" max="8" width="9.28125" style="31" bestFit="1" customWidth="1"/>
    <col min="9" max="9" width="11.421875" style="31" bestFit="1" customWidth="1"/>
    <col min="10" max="10" width="12.421875" style="31" bestFit="1" customWidth="1"/>
    <col min="11" max="11" width="11.28125" style="31" bestFit="1" customWidth="1"/>
    <col min="12" max="12" width="20.7109375" style="31" customWidth="1"/>
    <col min="13" max="16384" width="9.140625" style="31" customWidth="1"/>
  </cols>
  <sheetData>
    <row r="1" ht="13.5" thickBot="1">
      <c r="A1" s="149" t="s">
        <v>533</v>
      </c>
    </row>
    <row r="2" spans="1:12" ht="15.75">
      <c r="A2" s="16" t="s">
        <v>215</v>
      </c>
      <c r="B2" s="17" t="s">
        <v>213</v>
      </c>
      <c r="C2" s="17" t="s">
        <v>216</v>
      </c>
      <c r="D2" s="18" t="s">
        <v>217</v>
      </c>
      <c r="E2" s="19" t="s">
        <v>218</v>
      </c>
      <c r="F2" s="20" t="s">
        <v>219</v>
      </c>
      <c r="H2" s="28" t="s">
        <v>220</v>
      </c>
      <c r="I2" s="29" t="s">
        <v>221</v>
      </c>
      <c r="J2" s="29" t="s">
        <v>222</v>
      </c>
      <c r="K2" s="30" t="s">
        <v>223</v>
      </c>
      <c r="L2" s="140" t="s">
        <v>499</v>
      </c>
    </row>
    <row r="3" spans="1:12" ht="12.75">
      <c r="A3" s="21">
        <v>150</v>
      </c>
      <c r="B3" s="22">
        <v>65</v>
      </c>
      <c r="C3" s="22">
        <v>6</v>
      </c>
      <c r="D3" s="11">
        <f>(1-(1-E3)^2)/2</f>
        <v>0.4278</v>
      </c>
      <c r="E3" s="12">
        <v>0.62</v>
      </c>
      <c r="F3" s="13">
        <f>2.1*10^5</f>
        <v>210000</v>
      </c>
      <c r="H3" s="21" t="s">
        <v>224</v>
      </c>
      <c r="I3" s="22">
        <v>2100</v>
      </c>
      <c r="J3" s="22">
        <f>0.8*I3</f>
        <v>1680</v>
      </c>
      <c r="K3" s="13">
        <f>2.1*10^6</f>
        <v>2100000</v>
      </c>
      <c r="L3" s="141">
        <v>2400</v>
      </c>
    </row>
    <row r="4" spans="1:12" ht="12.75">
      <c r="A4" s="21">
        <v>200</v>
      </c>
      <c r="B4" s="22">
        <v>90</v>
      </c>
      <c r="C4" s="22">
        <v>7.5</v>
      </c>
      <c r="D4" s="11">
        <f aca="true" t="shared" si="0" ref="D4:D10">(1-(1-E4)^2)/2</f>
        <v>0.4278</v>
      </c>
      <c r="E4" s="12">
        <v>0.62</v>
      </c>
      <c r="F4" s="13">
        <f>2.4*10^5</f>
        <v>240000</v>
      </c>
      <c r="H4" s="21" t="s">
        <v>225</v>
      </c>
      <c r="I4" s="22">
        <v>2800</v>
      </c>
      <c r="J4" s="22">
        <f aca="true" t="shared" si="1" ref="J4:J9">0.8*I4</f>
        <v>2240</v>
      </c>
      <c r="K4" s="13">
        <f>2.1*10^6</f>
        <v>2100000</v>
      </c>
      <c r="L4" s="141">
        <v>3000</v>
      </c>
    </row>
    <row r="5" spans="1:12" ht="12.75">
      <c r="A5" s="21">
        <v>250</v>
      </c>
      <c r="B5" s="22">
        <v>110</v>
      </c>
      <c r="C5" s="22">
        <v>8.8</v>
      </c>
      <c r="D5" s="11">
        <f t="shared" si="0"/>
        <v>0.4118</v>
      </c>
      <c r="E5" s="12">
        <v>0.58</v>
      </c>
      <c r="F5" s="13">
        <f>2.65*10^5</f>
        <v>265000</v>
      </c>
      <c r="H5" s="21" t="s">
        <v>226</v>
      </c>
      <c r="I5" s="22">
        <v>3600</v>
      </c>
      <c r="J5" s="22">
        <f t="shared" si="1"/>
        <v>2880</v>
      </c>
      <c r="K5" s="13">
        <f>2.1*10^6</f>
        <v>2100000</v>
      </c>
      <c r="L5" s="141">
        <v>4000</v>
      </c>
    </row>
    <row r="6" spans="1:12" ht="12.75">
      <c r="A6" s="21">
        <v>300</v>
      </c>
      <c r="B6" s="22">
        <v>130</v>
      </c>
      <c r="C6" s="22">
        <v>10</v>
      </c>
      <c r="D6" s="11">
        <f t="shared" si="0"/>
        <v>0.4118</v>
      </c>
      <c r="E6" s="12">
        <v>0.58</v>
      </c>
      <c r="F6" s="13">
        <f>2.9*10^5</f>
        <v>290000</v>
      </c>
      <c r="H6" s="21" t="s">
        <v>227</v>
      </c>
      <c r="I6" s="22">
        <v>2000</v>
      </c>
      <c r="J6" s="22">
        <f t="shared" si="1"/>
        <v>1600</v>
      </c>
      <c r="K6" s="13">
        <f>2.1*10^6</f>
        <v>2100000</v>
      </c>
      <c r="L6" s="141">
        <v>2000</v>
      </c>
    </row>
    <row r="7" spans="1:12" ht="12.75">
      <c r="A7" s="21">
        <v>350</v>
      </c>
      <c r="B7" s="22">
        <v>155</v>
      </c>
      <c r="C7" s="22">
        <v>11</v>
      </c>
      <c r="D7" s="11">
        <f t="shared" si="0"/>
        <v>0.39875000000000005</v>
      </c>
      <c r="E7" s="12">
        <v>0.55</v>
      </c>
      <c r="F7" s="13">
        <f>3.1*10^5</f>
        <v>310000</v>
      </c>
      <c r="H7" s="21" t="s">
        <v>228</v>
      </c>
      <c r="I7" s="22">
        <v>2600</v>
      </c>
      <c r="J7" s="22">
        <f t="shared" si="1"/>
        <v>2080</v>
      </c>
      <c r="K7" s="13">
        <f>2.1*10^6</f>
        <v>2100000</v>
      </c>
      <c r="L7" s="141">
        <v>2600</v>
      </c>
    </row>
    <row r="8" spans="1:12" ht="12.75">
      <c r="A8" s="21">
        <v>400</v>
      </c>
      <c r="B8" s="22">
        <v>170</v>
      </c>
      <c r="C8" s="22">
        <v>12</v>
      </c>
      <c r="D8" s="11">
        <f t="shared" si="0"/>
        <v>0.39875000000000005</v>
      </c>
      <c r="E8" s="14">
        <v>0.55</v>
      </c>
      <c r="F8" s="13">
        <f>3.3*10^5</f>
        <v>330000</v>
      </c>
      <c r="H8" s="21" t="s">
        <v>229</v>
      </c>
      <c r="I8" s="22">
        <v>3400</v>
      </c>
      <c r="J8" s="22">
        <f t="shared" si="1"/>
        <v>2720</v>
      </c>
      <c r="K8" s="13">
        <f>2*10^6</f>
        <v>2000000</v>
      </c>
      <c r="L8" s="141">
        <v>3400</v>
      </c>
    </row>
    <row r="9" spans="1:12" ht="13.5" thickBot="1">
      <c r="A9" s="21">
        <v>500</v>
      </c>
      <c r="B9" s="22">
        <v>215</v>
      </c>
      <c r="C9" s="22">
        <v>13.5</v>
      </c>
      <c r="D9" s="11">
        <f t="shared" si="0"/>
        <v>0.38480000000000003</v>
      </c>
      <c r="E9" s="14">
        <v>0.52</v>
      </c>
      <c r="F9" s="13">
        <f>3.6*10^5</f>
        <v>360000</v>
      </c>
      <c r="H9" s="15" t="s">
        <v>230</v>
      </c>
      <c r="I9" s="23">
        <v>5000</v>
      </c>
      <c r="J9" s="23">
        <f t="shared" si="1"/>
        <v>4000</v>
      </c>
      <c r="K9" s="33">
        <f>2*10^6</f>
        <v>2000000</v>
      </c>
      <c r="L9" s="142">
        <v>5000</v>
      </c>
    </row>
    <row r="10" spans="1:6" ht="13.5" thickBot="1">
      <c r="A10" s="15">
        <v>600</v>
      </c>
      <c r="B10" s="23">
        <v>250</v>
      </c>
      <c r="C10" s="23">
        <v>14.5</v>
      </c>
      <c r="D10" s="32">
        <f t="shared" si="0"/>
        <v>0.3648</v>
      </c>
      <c r="E10" s="24">
        <v>0.48</v>
      </c>
      <c r="F10" s="33">
        <f>3.8*10^5</f>
        <v>380000</v>
      </c>
    </row>
    <row r="11" spans="1:6" ht="12.75">
      <c r="A11" s="25"/>
      <c r="B11" s="25"/>
      <c r="C11" s="25"/>
      <c r="D11" s="25"/>
      <c r="E11" s="26"/>
      <c r="F11" s="27"/>
    </row>
    <row r="12" ht="12.75">
      <c r="F12" s="27"/>
    </row>
    <row r="13" ht="12.75">
      <c r="F13" s="27"/>
    </row>
    <row r="14" ht="12.75">
      <c r="F14" s="27"/>
    </row>
    <row r="15" ht="12.75">
      <c r="F15" s="27"/>
    </row>
    <row r="16" ht="12.75">
      <c r="F16" s="27"/>
    </row>
    <row r="17" ht="12.75">
      <c r="F17" s="27"/>
    </row>
    <row r="18" ht="12.75">
      <c r="F18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C8" sqref="C8"/>
    </sheetView>
  </sheetViews>
  <sheetFormatPr defaultColWidth="9.140625" defaultRowHeight="12.75"/>
  <cols>
    <col min="1" max="1" width="9.00390625" style="41" customWidth="1"/>
    <col min="2" max="3" width="8.140625" style="41" customWidth="1"/>
    <col min="4" max="4" width="8.140625" style="42" customWidth="1"/>
    <col min="5" max="5" width="15.00390625" style="41" customWidth="1"/>
    <col min="6" max="6" width="9.00390625" style="41" customWidth="1"/>
    <col min="7" max="7" width="7.28125" style="41" customWidth="1"/>
    <col min="8" max="8" width="8.421875" style="41" customWidth="1"/>
    <col min="9" max="16384" width="9.140625" style="41" customWidth="1"/>
  </cols>
  <sheetData>
    <row r="1" spans="2:4" ht="18">
      <c r="B1" s="170" t="s">
        <v>173</v>
      </c>
      <c r="C1" s="43"/>
      <c r="D1" s="43"/>
    </row>
    <row r="2" spans="2:14" ht="15.75">
      <c r="B2" s="43" t="s">
        <v>67</v>
      </c>
      <c r="C2" s="43"/>
      <c r="D2" s="169" t="s">
        <v>117</v>
      </c>
      <c r="N2" s="42"/>
    </row>
    <row r="3" ht="15.75">
      <c r="A3" s="42" t="s">
        <v>232</v>
      </c>
    </row>
    <row r="4" spans="1:7" ht="16.5">
      <c r="A4" s="41" t="s">
        <v>239</v>
      </c>
      <c r="F4" s="120">
        <v>206</v>
      </c>
      <c r="G4" s="41" t="s">
        <v>186</v>
      </c>
    </row>
    <row r="5" spans="1:7" ht="15.75">
      <c r="A5" s="41" t="s">
        <v>236</v>
      </c>
      <c r="F5" s="120">
        <v>195</v>
      </c>
      <c r="G5" s="45" t="s">
        <v>186</v>
      </c>
    </row>
    <row r="6" spans="1:7" ht="16.5">
      <c r="A6" s="41" t="s">
        <v>242</v>
      </c>
      <c r="F6" s="120">
        <v>2</v>
      </c>
      <c r="G6" s="41" t="s">
        <v>191</v>
      </c>
    </row>
    <row r="7" spans="1:5" ht="15.75">
      <c r="A7" s="41" t="s">
        <v>241</v>
      </c>
      <c r="D7" s="120">
        <v>1.5</v>
      </c>
      <c r="E7" s="41" t="s">
        <v>187</v>
      </c>
    </row>
    <row r="8" spans="1:5" ht="15.75">
      <c r="A8" s="41" t="s">
        <v>270</v>
      </c>
      <c r="D8" s="120">
        <v>24</v>
      </c>
      <c r="E8" s="41" t="s">
        <v>187</v>
      </c>
    </row>
    <row r="9" spans="1:5" ht="15.75">
      <c r="A9" s="41" t="s">
        <v>529</v>
      </c>
      <c r="D9" s="192">
        <f>'SucChiuTaiCocKhoanNhoi-DatSet'!$B$14</f>
        <v>80</v>
      </c>
      <c r="E9" s="41" t="s">
        <v>210</v>
      </c>
    </row>
    <row r="10" spans="1:7" ht="15.75">
      <c r="A10" s="41" t="s">
        <v>530</v>
      </c>
      <c r="F10" s="46">
        <f>1+D9/100</f>
        <v>1.8</v>
      </c>
      <c r="G10" s="41" t="s">
        <v>187</v>
      </c>
    </row>
    <row r="11" ht="15.75">
      <c r="A11" s="41" t="s">
        <v>235</v>
      </c>
    </row>
    <row r="12" spans="2:5" ht="16.5">
      <c r="B12" s="41" t="s">
        <v>531</v>
      </c>
      <c r="D12" s="46">
        <f>F5/(F10)^2</f>
        <v>60.18518518518518</v>
      </c>
      <c r="E12" s="41" t="s">
        <v>192</v>
      </c>
    </row>
    <row r="13" spans="1:6" ht="15.75">
      <c r="A13" s="41" t="s">
        <v>238</v>
      </c>
      <c r="F13" s="47"/>
    </row>
    <row r="14" spans="2:6" ht="16.5">
      <c r="B14" s="41" t="s">
        <v>114</v>
      </c>
      <c r="E14" s="46">
        <f>F4/(D12-1.1*F6*D7)</f>
        <v>3.621329513640211</v>
      </c>
      <c r="F14" s="41" t="s">
        <v>194</v>
      </c>
    </row>
    <row r="15" ht="15.75">
      <c r="A15" s="41" t="s">
        <v>243</v>
      </c>
    </row>
    <row r="16" spans="2:5" ht="15.75">
      <c r="B16" s="41" t="s">
        <v>532</v>
      </c>
      <c r="D16" s="46">
        <f>1.1*E14*D7*F6</f>
        <v>11.950387395012697</v>
      </c>
      <c r="E16" s="41" t="s">
        <v>186</v>
      </c>
    </row>
    <row r="17" ht="16.5">
      <c r="A17" s="41" t="s">
        <v>244</v>
      </c>
    </row>
    <row r="18" spans="2:5" ht="16.5">
      <c r="B18" s="41" t="s">
        <v>245</v>
      </c>
      <c r="D18" s="46">
        <f>F4+D16</f>
        <v>217.95038739501268</v>
      </c>
      <c r="E18" s="41" t="s">
        <v>186</v>
      </c>
    </row>
    <row r="19" spans="1:6" ht="15.75">
      <c r="A19" s="42" t="s">
        <v>146</v>
      </c>
      <c r="F19" s="47"/>
    </row>
    <row r="20" spans="2:5" ht="16.5">
      <c r="B20" s="41" t="s">
        <v>246</v>
      </c>
      <c r="D20" s="46">
        <f>1.2*D18/F5</f>
        <v>1.3412331532000779</v>
      </c>
      <c r="E20" s="41" t="s">
        <v>247</v>
      </c>
    </row>
    <row r="21" spans="1:4" ht="15.75">
      <c r="A21" s="41" t="s">
        <v>248</v>
      </c>
      <c r="C21" s="193">
        <f>C22*C23</f>
        <v>2</v>
      </c>
      <c r="D21" s="41" t="s">
        <v>247</v>
      </c>
    </row>
    <row r="22" spans="1:4" ht="15.75">
      <c r="A22" s="41" t="s">
        <v>103</v>
      </c>
      <c r="C22" s="120">
        <v>2</v>
      </c>
      <c r="D22" s="41" t="s">
        <v>140</v>
      </c>
    </row>
    <row r="23" spans="1:4" ht="15.75">
      <c r="A23" s="41" t="s">
        <v>104</v>
      </c>
      <c r="C23" s="120">
        <v>1</v>
      </c>
      <c r="D23" s="41" t="s">
        <v>141</v>
      </c>
    </row>
    <row r="24" spans="1:4" ht="15.75">
      <c r="A24" s="41" t="s">
        <v>143</v>
      </c>
      <c r="C24" s="187">
        <f>IF(C22&gt;=2,(C22-1)*$F$10+$D$9*2/100,(C22-1)*$F$10+$D$9*2/100+0.2)</f>
        <v>3.4000000000000004</v>
      </c>
      <c r="D24" s="41" t="s">
        <v>144</v>
      </c>
    </row>
    <row r="25" spans="1:4" ht="15.75">
      <c r="A25" s="41" t="s">
        <v>142</v>
      </c>
      <c r="C25" s="187">
        <f>IF(C23&gt;=2,(C23-1)*$F$10+$D$9*2/100,(C23-1)*$F$10+$D$9*2/100+0.2)</f>
        <v>1.8</v>
      </c>
      <c r="D25" s="41" t="s">
        <v>145</v>
      </c>
    </row>
    <row r="26" ht="15.75">
      <c r="A26" s="41" t="s">
        <v>249</v>
      </c>
    </row>
    <row r="27" spans="2:4" ht="16.5">
      <c r="B27" s="41" t="s">
        <v>240</v>
      </c>
      <c r="C27" s="193">
        <f>IF(C24*C25&gt;E14,C24*C25,"RETEST")</f>
        <v>6.120000000000001</v>
      </c>
      <c r="D27" s="41" t="s">
        <v>194</v>
      </c>
    </row>
    <row r="28" ht="15.75">
      <c r="A28" s="41" t="s">
        <v>243</v>
      </c>
    </row>
    <row r="29" spans="2:5" ht="15.75">
      <c r="B29" s="41" t="s">
        <v>317</v>
      </c>
      <c r="D29" s="46">
        <f>1.1*C27*D7*F6</f>
        <v>20.196000000000005</v>
      </c>
      <c r="E29" s="41" t="s">
        <v>186</v>
      </c>
    </row>
    <row r="30" ht="16.5">
      <c r="A30" s="41" t="s">
        <v>244</v>
      </c>
    </row>
    <row r="31" spans="2:5" ht="16.5">
      <c r="B31" s="41" t="s">
        <v>253</v>
      </c>
      <c r="D31" s="46">
        <f>F4+D29</f>
        <v>226.196</v>
      </c>
      <c r="E31" s="41" t="s">
        <v>186</v>
      </c>
    </row>
    <row r="32" ht="16.5">
      <c r="A32" s="41" t="s">
        <v>254</v>
      </c>
    </row>
    <row r="33" spans="2:4" ht="16.5">
      <c r="B33" s="41" t="s">
        <v>33</v>
      </c>
      <c r="C33" s="126">
        <v>23</v>
      </c>
      <c r="D33" s="41" t="s">
        <v>186</v>
      </c>
    </row>
    <row r="34" spans="2:4" ht="16.5">
      <c r="B34" s="41" t="s">
        <v>32</v>
      </c>
      <c r="C34" s="126">
        <v>0</v>
      </c>
      <c r="D34" s="41" t="s">
        <v>186</v>
      </c>
    </row>
    <row r="35" ht="15.75">
      <c r="A35" s="42" t="s">
        <v>255</v>
      </c>
    </row>
    <row r="36" ht="15.75">
      <c r="A36" s="41" t="s">
        <v>256</v>
      </c>
    </row>
    <row r="37" ht="16.5">
      <c r="A37" s="41" t="s">
        <v>34</v>
      </c>
    </row>
    <row r="38" ht="16.5">
      <c r="A38" s="41" t="s">
        <v>35</v>
      </c>
    </row>
    <row r="39" ht="15.75">
      <c r="A39" s="41" t="s">
        <v>188</v>
      </c>
    </row>
    <row r="40" spans="1:4" ht="16.5">
      <c r="A40" s="41" t="s">
        <v>37</v>
      </c>
      <c r="B40" s="194">
        <f>(C22-1)*$F$10/2</f>
        <v>0.9</v>
      </c>
      <c r="C40" s="41" t="s">
        <v>62</v>
      </c>
      <c r="D40" s="41"/>
    </row>
    <row r="41" spans="1:4" ht="16.5">
      <c r="A41" s="41" t="s">
        <v>61</v>
      </c>
      <c r="B41" s="194">
        <f>(C23-1)*$F$10/2</f>
        <v>0</v>
      </c>
      <c r="C41" s="41" t="s">
        <v>63</v>
      </c>
      <c r="D41" s="41"/>
    </row>
    <row r="42" spans="1:4" ht="16.5">
      <c r="A42" s="41" t="s">
        <v>36</v>
      </c>
      <c r="B42" s="127">
        <f>2*0.9*0.9</f>
        <v>1.62</v>
      </c>
      <c r="C42" s="41" t="s">
        <v>59</v>
      </c>
      <c r="D42" s="41"/>
    </row>
    <row r="43" spans="1:4" ht="16.5">
      <c r="A43" s="41" t="s">
        <v>38</v>
      </c>
      <c r="B43" s="127">
        <v>0</v>
      </c>
      <c r="C43" s="41" t="s">
        <v>60</v>
      </c>
      <c r="D43" s="41"/>
    </row>
    <row r="44" spans="1:4" ht="16.5">
      <c r="A44" s="41" t="s">
        <v>193</v>
      </c>
      <c r="B44" s="42" t="s">
        <v>257</v>
      </c>
      <c r="C44" s="61">
        <f>IF((B42&gt;0)*AND(B43&gt;0),D31/C21+C33*B40/B42+C34*B41/B43,D31/C21+C33*B40/B42)</f>
        <v>125.87577777777777</v>
      </c>
      <c r="D44" s="41" t="s">
        <v>186</v>
      </c>
    </row>
    <row r="45" spans="2:4" ht="16.5">
      <c r="B45" s="42" t="s">
        <v>258</v>
      </c>
      <c r="C45" s="48">
        <f>IF((B42&gt;0)*AND(B43&gt;0),D31/C21-C33*B40/B42-C34*B41/B43,D31/C21-C33*B40/B42)</f>
        <v>100.32022222222223</v>
      </c>
      <c r="D45" s="41" t="s">
        <v>186</v>
      </c>
    </row>
    <row r="46" ht="15.75">
      <c r="A46" s="42" t="str">
        <f>IF((C44&lt;F5)*AND(C45&gt;0),"Keát luaän  :Qttmax  ≤  Qc vaø Qttmin &gt;0.Vaäy ñieàu kieän kieåm tra thoaû maõn","Ta coù :Qttmax  &gt;  Qc .Neân dieàu kieän kieåm tra khoâng thoaû maõn")</f>
        <v>Keát luaän  :Qttmax  ≤  Qc vaø Qttmin &gt;0.Vaäy ñieàu kieän kieåm tra thoaû maõn</v>
      </c>
    </row>
    <row r="47" ht="15.75">
      <c r="A47" s="42" t="s">
        <v>259</v>
      </c>
    </row>
    <row r="48" ht="15.75">
      <c r="A48" s="41" t="s">
        <v>260</v>
      </c>
    </row>
    <row r="49" spans="1:5" ht="15.75">
      <c r="A49" s="99" t="s">
        <v>261</v>
      </c>
      <c r="B49" s="99" t="s">
        <v>278</v>
      </c>
      <c r="C49" s="114" t="s">
        <v>262</v>
      </c>
      <c r="D49" s="99" t="s">
        <v>279</v>
      </c>
      <c r="E49" s="195" t="s">
        <v>280</v>
      </c>
    </row>
    <row r="50" spans="1:5" ht="15.75">
      <c r="A50" s="49">
        <v>2</v>
      </c>
      <c r="B50" s="75">
        <v>0.5</v>
      </c>
      <c r="C50" s="75">
        <v>14.707</v>
      </c>
      <c r="D50" s="173">
        <f>B50*C50</f>
        <v>7.3535</v>
      </c>
      <c r="E50" s="55">
        <f>D54/B54</f>
        <v>25.277598290598288</v>
      </c>
    </row>
    <row r="51" spans="1:5" ht="15.75">
      <c r="A51" s="49">
        <v>3</v>
      </c>
      <c r="B51" s="75">
        <v>2.2</v>
      </c>
      <c r="C51" s="75">
        <v>15.378</v>
      </c>
      <c r="D51" s="173">
        <f>B51*C51</f>
        <v>33.8316</v>
      </c>
      <c r="E51" s="52"/>
    </row>
    <row r="52" spans="1:5" ht="15.75">
      <c r="A52" s="49">
        <v>4</v>
      </c>
      <c r="B52" s="75">
        <v>1.5</v>
      </c>
      <c r="C52" s="75">
        <v>8.589</v>
      </c>
      <c r="D52" s="173">
        <f>B52*C52</f>
        <v>12.883500000000002</v>
      </c>
      <c r="E52" s="52"/>
    </row>
    <row r="53" spans="1:5" ht="15.75">
      <c r="A53" s="49">
        <v>5</v>
      </c>
      <c r="B53" s="75">
        <v>19.2</v>
      </c>
      <c r="C53" s="75">
        <v>27.991</v>
      </c>
      <c r="D53" s="173">
        <f>B53*C53</f>
        <v>537.4272</v>
      </c>
      <c r="E53" s="53"/>
    </row>
    <row r="54" spans="1:5" ht="15.75" hidden="1">
      <c r="A54" s="49" t="s">
        <v>263</v>
      </c>
      <c r="B54" s="82">
        <f>SUM(B50:B53)</f>
        <v>23.4</v>
      </c>
      <c r="C54" s="49"/>
      <c r="D54" s="76">
        <f>SUM(D50:D53)</f>
        <v>591.4957999999999</v>
      </c>
      <c r="E54" s="53"/>
    </row>
    <row r="55" spans="1:7" ht="15.75">
      <c r="A55" s="42" t="s">
        <v>266</v>
      </c>
      <c r="B55" s="56"/>
      <c r="C55" s="56"/>
      <c r="D55" s="77"/>
      <c r="E55" s="56"/>
      <c r="F55" s="57"/>
      <c r="G55" s="58"/>
    </row>
    <row r="56" ht="15.75">
      <c r="A56" s="50" t="s">
        <v>267</v>
      </c>
    </row>
    <row r="57" ht="15.75">
      <c r="A57" s="41" t="s">
        <v>264</v>
      </c>
    </row>
    <row r="58" spans="1:4" ht="16.5">
      <c r="A58" s="54" t="s">
        <v>265</v>
      </c>
      <c r="B58" s="46">
        <f>E50/4</f>
        <v>6.319399572649572</v>
      </c>
      <c r="C58" s="41" t="s">
        <v>214</v>
      </c>
      <c r="D58" s="46"/>
    </row>
    <row r="59" ht="15.75">
      <c r="A59" s="41" t="s">
        <v>268</v>
      </c>
    </row>
    <row r="60" spans="1:5" ht="15.75">
      <c r="A60" s="45" t="s">
        <v>269</v>
      </c>
      <c r="D60" s="48">
        <f>(C61-D9/100)+2*D8*TAN(B58*3.142/180)</f>
        <v>7.916395055270702</v>
      </c>
      <c r="E60" s="41" t="s">
        <v>187</v>
      </c>
    </row>
    <row r="61" spans="1:4" ht="15.75">
      <c r="A61" s="41" t="s">
        <v>271</v>
      </c>
      <c r="C61" s="48">
        <f>C24</f>
        <v>3.4000000000000004</v>
      </c>
      <c r="D61" s="41" t="s">
        <v>272</v>
      </c>
    </row>
    <row r="62" ht="15.75">
      <c r="A62" s="41" t="s">
        <v>273</v>
      </c>
    </row>
    <row r="63" spans="1:5" ht="15.75">
      <c r="A63" s="41" t="s">
        <v>274</v>
      </c>
      <c r="D63" s="48">
        <f>(C64-D9/100)+2*D8*TAN(B58*3.142/180)</f>
        <v>6.316395055270702</v>
      </c>
      <c r="E63" s="41" t="s">
        <v>187</v>
      </c>
    </row>
    <row r="64" spans="1:4" ht="15.75">
      <c r="A64" s="41" t="s">
        <v>275</v>
      </c>
      <c r="C64" s="48">
        <f>C25</f>
        <v>1.8</v>
      </c>
      <c r="D64" s="41" t="s">
        <v>272</v>
      </c>
    </row>
    <row r="65" ht="15.75">
      <c r="A65" s="41" t="s">
        <v>276</v>
      </c>
    </row>
    <row r="66" spans="1:4" ht="16.5">
      <c r="A66" s="47" t="s">
        <v>277</v>
      </c>
      <c r="B66" s="48">
        <f>D60*D63</f>
        <v>50.0030785826813</v>
      </c>
      <c r="C66" s="41" t="s">
        <v>194</v>
      </c>
      <c r="D66" s="48"/>
    </row>
    <row r="67" ht="15.75">
      <c r="A67" s="41" t="s">
        <v>281</v>
      </c>
    </row>
    <row r="68" spans="1:5" ht="16.5">
      <c r="A68" s="99" t="s">
        <v>261</v>
      </c>
      <c r="B68" s="99" t="s">
        <v>278</v>
      </c>
      <c r="C68" s="114" t="s">
        <v>283</v>
      </c>
      <c r="D68" s="99" t="s">
        <v>307</v>
      </c>
      <c r="E68" s="99" t="s">
        <v>282</v>
      </c>
    </row>
    <row r="69" spans="1:5" ht="14.25">
      <c r="A69" s="49">
        <v>1</v>
      </c>
      <c r="B69" s="64">
        <v>1.5</v>
      </c>
      <c r="C69" s="64">
        <v>2</v>
      </c>
      <c r="D69" s="191">
        <f>B69*C69</f>
        <v>3</v>
      </c>
      <c r="E69" s="196">
        <f>($B$66)*B69*C69</f>
        <v>150.0092357480439</v>
      </c>
    </row>
    <row r="70" spans="1:5" ht="14.25">
      <c r="A70" s="49">
        <v>2</v>
      </c>
      <c r="B70" s="64">
        <v>0.5</v>
      </c>
      <c r="C70" s="49">
        <v>1.744</v>
      </c>
      <c r="D70" s="191">
        <f>B70*C70</f>
        <v>0.872</v>
      </c>
      <c r="E70" s="196">
        <f>($B$66-$C$21*($D$9/100)^2)*B70*C70</f>
        <v>42.48652452409809</v>
      </c>
    </row>
    <row r="71" spans="1:5" ht="14.25">
      <c r="A71" s="49">
        <v>3</v>
      </c>
      <c r="B71" s="64">
        <v>2.2</v>
      </c>
      <c r="C71" s="49">
        <f>(1.996+0.996)/2</f>
        <v>1.496</v>
      </c>
      <c r="D71" s="191">
        <f>B71*C71</f>
        <v>3.2912000000000003</v>
      </c>
      <c r="E71" s="196">
        <f>($B$66-$C$21*($D$9/100)^2)*B71*C71</f>
        <v>160.3573962313207</v>
      </c>
    </row>
    <row r="72" spans="1:5" ht="14.25">
      <c r="A72" s="49">
        <v>4</v>
      </c>
      <c r="B72" s="64">
        <v>1.5</v>
      </c>
      <c r="C72" s="49">
        <v>0.862</v>
      </c>
      <c r="D72" s="191">
        <f>B72*C72</f>
        <v>1.293</v>
      </c>
      <c r="E72" s="196">
        <f>($B$66-$C$21*($D$9/100)^2)*B72*C72</f>
        <v>62.998940607406915</v>
      </c>
    </row>
    <row r="73" spans="1:5" ht="14.25">
      <c r="A73" s="49">
        <v>5</v>
      </c>
      <c r="B73" s="64">
        <v>19.2</v>
      </c>
      <c r="C73" s="49">
        <v>0.876</v>
      </c>
      <c r="D73" s="191">
        <f>B73*C73</f>
        <v>16.8192</v>
      </c>
      <c r="E73" s="196">
        <f>($B$66-$C$21*($D$9/100)^2)*B73*C73</f>
        <v>819.4832032978333</v>
      </c>
    </row>
    <row r="74" spans="1:5" ht="15.75">
      <c r="A74" s="49" t="s">
        <v>263</v>
      </c>
      <c r="B74" s="51"/>
      <c r="C74" s="51"/>
      <c r="D74" s="65">
        <f>SUM(D69:D73)</f>
        <v>25.275399999999998</v>
      </c>
      <c r="E74" s="65">
        <f>SUM(E69:E73)</f>
        <v>1235.3353004087028</v>
      </c>
    </row>
    <row r="75" spans="1:6" ht="15.75">
      <c r="A75" s="42" t="s">
        <v>266</v>
      </c>
      <c r="B75" s="56"/>
      <c r="C75" s="56"/>
      <c r="D75" s="77"/>
      <c r="E75" s="56"/>
      <c r="F75" s="57"/>
    </row>
    <row r="76" ht="15.75">
      <c r="A76" s="50" t="s">
        <v>284</v>
      </c>
    </row>
    <row r="77" ht="16.5">
      <c r="A77" s="50" t="s">
        <v>285</v>
      </c>
    </row>
    <row r="78" ht="15.75">
      <c r="A78" s="41" t="s">
        <v>286</v>
      </c>
    </row>
    <row r="79" spans="1:3" ht="15.75">
      <c r="A79" s="47" t="s">
        <v>287</v>
      </c>
      <c r="B79" s="61">
        <f>C21*D8*2.5*(D9/100)^2*3.142/4</f>
        <v>60.32640000000001</v>
      </c>
      <c r="C79" s="41" t="s">
        <v>186</v>
      </c>
    </row>
    <row r="80" ht="15.75">
      <c r="A80" s="41" t="s">
        <v>288</v>
      </c>
    </row>
    <row r="81" spans="1:3" ht="15.75">
      <c r="A81" s="47" t="s">
        <v>289</v>
      </c>
      <c r="B81" s="61">
        <f>+E74+B79</f>
        <v>1295.6617004087027</v>
      </c>
      <c r="C81" s="41" t="s">
        <v>186</v>
      </c>
    </row>
    <row r="82" ht="15.75">
      <c r="A82" s="41" t="s">
        <v>291</v>
      </c>
    </row>
    <row r="83" spans="1:3" ht="16.5">
      <c r="A83" s="47" t="s">
        <v>290</v>
      </c>
      <c r="B83" s="66">
        <f>+B81+F4/1.15</f>
        <v>1474.7921351913114</v>
      </c>
      <c r="C83" s="41" t="s">
        <v>186</v>
      </c>
    </row>
    <row r="84" ht="15.75">
      <c r="A84" s="41" t="s">
        <v>292</v>
      </c>
    </row>
    <row r="85" ht="16.5">
      <c r="A85" s="45" t="s">
        <v>293</v>
      </c>
    </row>
    <row r="86" spans="1:3" ht="16.5">
      <c r="A86" s="45" t="s">
        <v>294</v>
      </c>
      <c r="B86" s="131">
        <v>239</v>
      </c>
      <c r="C86" s="41" t="s">
        <v>295</v>
      </c>
    </row>
    <row r="87" ht="15.75">
      <c r="A87" s="41" t="s">
        <v>296</v>
      </c>
    </row>
    <row r="88" spans="1:3" ht="15.75">
      <c r="A88" s="47" t="s">
        <v>297</v>
      </c>
      <c r="B88" s="59">
        <f>+B86/B83</f>
        <v>0.1620567361982824</v>
      </c>
      <c r="C88" s="41" t="s">
        <v>187</v>
      </c>
    </row>
    <row r="89" ht="15.75">
      <c r="A89" s="42" t="s">
        <v>298</v>
      </c>
    </row>
    <row r="90" spans="1:3" ht="16.5">
      <c r="A90" s="67" t="s">
        <v>299</v>
      </c>
      <c r="B90" s="48">
        <f>B83/B66*(1+6*B88/D60)</f>
        <v>33.116664794164414</v>
      </c>
      <c r="C90" s="42" t="s">
        <v>300</v>
      </c>
    </row>
    <row r="91" spans="1:3" ht="16.5">
      <c r="A91" s="67" t="s">
        <v>299</v>
      </c>
      <c r="B91" s="48">
        <f>B83/B66*(1-6*B88/D60)</f>
        <v>25.87138862149506</v>
      </c>
      <c r="C91" s="42" t="s">
        <v>300</v>
      </c>
    </row>
    <row r="92" spans="1:3" ht="16.5">
      <c r="A92" s="67" t="s">
        <v>301</v>
      </c>
      <c r="B92" s="48">
        <f>(B90+B91)/2</f>
        <v>29.49402670782974</v>
      </c>
      <c r="C92" s="42" t="s">
        <v>300</v>
      </c>
    </row>
    <row r="93" ht="15.75">
      <c r="A93" s="42" t="s">
        <v>302</v>
      </c>
    </row>
    <row r="94" spans="2:6" ht="12.75">
      <c r="B94" s="233"/>
      <c r="C94" s="56"/>
      <c r="D94" s="77"/>
      <c r="E94" s="233"/>
      <c r="F94" s="233"/>
    </row>
    <row r="95" spans="2:6" ht="12.75">
      <c r="B95" s="233"/>
      <c r="C95" s="56"/>
      <c r="D95" s="77"/>
      <c r="E95" s="233"/>
      <c r="F95" s="233"/>
    </row>
    <row r="96" ht="12.75">
      <c r="A96" s="41" t="s">
        <v>188</v>
      </c>
    </row>
    <row r="97" spans="2:4" ht="15.75">
      <c r="B97" s="41" t="s">
        <v>310</v>
      </c>
      <c r="C97" s="119">
        <v>1.3</v>
      </c>
      <c r="D97" s="43"/>
    </row>
    <row r="98" spans="2:4" ht="15.75">
      <c r="B98" s="41" t="s">
        <v>311</v>
      </c>
      <c r="C98" s="119">
        <v>1.1</v>
      </c>
      <c r="D98" s="43"/>
    </row>
    <row r="99" spans="2:5" ht="15.75">
      <c r="B99" s="45" t="s">
        <v>312</v>
      </c>
      <c r="C99" s="119">
        <v>1</v>
      </c>
      <c r="D99" s="43"/>
      <c r="E99" s="41" t="s">
        <v>189</v>
      </c>
    </row>
    <row r="100" spans="2:4" ht="16.5">
      <c r="B100" s="68" t="s">
        <v>452</v>
      </c>
      <c r="C100" s="119">
        <v>27.42</v>
      </c>
      <c r="D100" s="69">
        <v>0</v>
      </c>
    </row>
    <row r="101" ht="16.5">
      <c r="B101" s="41" t="s">
        <v>190</v>
      </c>
    </row>
    <row r="102" spans="2:4" ht="15.75">
      <c r="B102" s="41" t="s">
        <v>313</v>
      </c>
      <c r="C102" s="70">
        <f>0.25*3.142/((1/TAN(C100*3.142/180))+(C100*3.142/180)-3.142/2)</f>
        <v>0.9408456356198572</v>
      </c>
      <c r="D102" s="80"/>
    </row>
    <row r="103" spans="2:4" ht="15.75">
      <c r="B103" s="41" t="s">
        <v>314</v>
      </c>
      <c r="C103" s="70">
        <f>1+3.142/((1/TAN(C100*3.142/180))+(C100*3.142/180)-3.142/2)</f>
        <v>4.7633825424794285</v>
      </c>
      <c r="D103" s="80"/>
    </row>
    <row r="104" spans="2:4" ht="15.75">
      <c r="B104" s="41" t="s">
        <v>315</v>
      </c>
      <c r="C104" s="70">
        <f>3.142/((1/TAN(C100*3.142/180))+(C100*3.142/180)-3.142/2)/TAN(C100*3.142/180)</f>
        <v>7.253001170084863</v>
      </c>
      <c r="D104" s="80"/>
    </row>
    <row r="105" ht="15.75">
      <c r="B105" s="41" t="s">
        <v>303</v>
      </c>
    </row>
    <row r="106" spans="2:5" ht="15.75">
      <c r="B106" s="41" t="s">
        <v>304</v>
      </c>
      <c r="C106" s="48">
        <f>D63</f>
        <v>6.316395055270702</v>
      </c>
      <c r="D106" s="81"/>
      <c r="E106" s="41" t="s">
        <v>187</v>
      </c>
    </row>
    <row r="107" spans="2:4" ht="15.75">
      <c r="B107" s="41" t="s">
        <v>305</v>
      </c>
      <c r="C107" s="72"/>
      <c r="D107" s="81"/>
    </row>
    <row r="108" spans="2:5" ht="16.5">
      <c r="B108" s="54" t="s">
        <v>306</v>
      </c>
      <c r="D108" s="119">
        <v>0.876</v>
      </c>
      <c r="E108" s="41" t="s">
        <v>191</v>
      </c>
    </row>
    <row r="109" spans="2:5" ht="16.5">
      <c r="B109" s="54" t="s">
        <v>174</v>
      </c>
      <c r="D109" s="61">
        <f>D74</f>
        <v>25.275399999999998</v>
      </c>
      <c r="E109" s="41" t="s">
        <v>191</v>
      </c>
    </row>
    <row r="110" spans="2:5" ht="16.5">
      <c r="B110" s="41" t="s">
        <v>308</v>
      </c>
      <c r="D110" s="119">
        <v>0.283</v>
      </c>
      <c r="E110" s="41" t="s">
        <v>192</v>
      </c>
    </row>
    <row r="111" spans="2:5" ht="16.5">
      <c r="B111" s="42" t="s">
        <v>309</v>
      </c>
      <c r="C111" s="48">
        <f>(C97*C98/C99)*(C102*C106*D108+C103*D109+C104*D110)</f>
        <v>182.54643525484963</v>
      </c>
      <c r="D111" s="71"/>
      <c r="E111" s="41" t="s">
        <v>192</v>
      </c>
    </row>
    <row r="112" spans="1:2" ht="15.75">
      <c r="A112" s="74" t="s">
        <v>316</v>
      </c>
      <c r="B112" s="73" t="str">
        <f>IF((B90&lt;=C111*1.2)*AND(B91&gt;=0)*AND(B92&lt;=C111),"Thoaû maõn","Khoâng thoaû maõn")</f>
        <v>Thoaû maõn</v>
      </c>
    </row>
  </sheetData>
  <mergeCells count="2">
    <mergeCell ref="B94:B95"/>
    <mergeCell ref="E94:F95"/>
  </mergeCells>
  <printOptions/>
  <pageMargins left="0.75" right="0.75" top="0.51" bottom="0.28" header="0.5" footer="0.26"/>
  <pageSetup horizontalDpi="600" verticalDpi="600" orientation="portrait" paperSize="8" r:id="rId3"/>
  <legacyDrawing r:id="rId2"/>
  <oleObjects>
    <oleObject progId="Equation.3" shapeId="32391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B11" sqref="B11"/>
    </sheetView>
  </sheetViews>
  <sheetFormatPr defaultColWidth="9.140625" defaultRowHeight="12.75"/>
  <cols>
    <col min="1" max="1" width="11.8515625" style="1" customWidth="1"/>
    <col min="2" max="16384" width="9.140625" style="1" customWidth="1"/>
  </cols>
  <sheetData>
    <row r="1" spans="1:3" ht="15.75">
      <c r="A1" s="6" t="s">
        <v>524</v>
      </c>
      <c r="B1" s="2"/>
      <c r="C1" s="2"/>
    </row>
    <row r="2" ht="15.75">
      <c r="A2" s="7" t="s">
        <v>364</v>
      </c>
    </row>
    <row r="3" ht="12.75"/>
    <row r="4" ht="12.75"/>
    <row r="5" ht="12.75"/>
    <row r="6" ht="12.75"/>
    <row r="7" ht="14.25">
      <c r="A7" s="1" t="s">
        <v>208</v>
      </c>
    </row>
    <row r="8" spans="1:2" ht="15.75">
      <c r="A8" s="8" t="s">
        <v>370</v>
      </c>
      <c r="B8" s="119">
        <v>300</v>
      </c>
    </row>
    <row r="9" spans="1:4" ht="15.75">
      <c r="A9" s="8" t="s">
        <v>371</v>
      </c>
      <c r="B9" s="96">
        <f>MIN(B8/4.5,60)</f>
        <v>60</v>
      </c>
      <c r="C9" s="1" t="s">
        <v>212</v>
      </c>
      <c r="D9" s="1" t="s">
        <v>502</v>
      </c>
    </row>
    <row r="10" spans="1:2" ht="15.75">
      <c r="A10" s="8" t="s">
        <v>220</v>
      </c>
      <c r="B10" s="120" t="s">
        <v>225</v>
      </c>
    </row>
    <row r="11" spans="1:4" ht="15.75">
      <c r="A11" s="8" t="s">
        <v>500</v>
      </c>
      <c r="B11" s="94">
        <f>VLOOKUP(B10,VATLIEU!H3:L9,5,0)</f>
        <v>3000</v>
      </c>
      <c r="C11" s="1" t="s">
        <v>212</v>
      </c>
      <c r="D11" s="1" t="s">
        <v>501</v>
      </c>
    </row>
    <row r="12" spans="1:3" ht="15.75">
      <c r="A12" s="8" t="s">
        <v>372</v>
      </c>
      <c r="B12" s="144">
        <f>IF(B16&lt;=28,MIN(B11/1.5,2200),VLOOKUP(B10,VATLIEU!H3:L9,2,0))</f>
        <v>2000</v>
      </c>
      <c r="C12" s="1" t="s">
        <v>212</v>
      </c>
    </row>
    <row r="13" spans="1:3" ht="15.75">
      <c r="A13" s="92" t="s">
        <v>365</v>
      </c>
      <c r="B13" s="119">
        <v>1</v>
      </c>
      <c r="C13" s="1" t="s">
        <v>366</v>
      </c>
    </row>
    <row r="14" spans="1:3" ht="15.75">
      <c r="A14" s="8" t="s">
        <v>368</v>
      </c>
      <c r="B14" s="119">
        <v>80</v>
      </c>
      <c r="C14" s="1" t="s">
        <v>503</v>
      </c>
    </row>
    <row r="15" spans="1:2" ht="15.75">
      <c r="A15" s="8" t="s">
        <v>383</v>
      </c>
      <c r="B15" s="119">
        <v>14</v>
      </c>
    </row>
    <row r="16" spans="1:2" ht="15.75">
      <c r="A16" s="8" t="s">
        <v>373</v>
      </c>
      <c r="B16" s="119">
        <v>18</v>
      </c>
    </row>
    <row r="17" spans="1:3" ht="15.75">
      <c r="A17" s="8" t="s">
        <v>374</v>
      </c>
      <c r="B17" s="143">
        <f>B15*(B16/10)^2*3.1415/4</f>
        <v>35.624610000000004</v>
      </c>
      <c r="C17" s="1" t="s">
        <v>328</v>
      </c>
    </row>
    <row r="18" ht="14.25">
      <c r="A18" s="1" t="s">
        <v>209</v>
      </c>
    </row>
    <row r="19" spans="1:3" ht="15.75">
      <c r="A19" s="8" t="s">
        <v>375</v>
      </c>
      <c r="B19" s="96">
        <f>B13*(B9*B14*B14*3.142/4+B12*B17)/1000</f>
        <v>372.88122</v>
      </c>
      <c r="C19" s="1" t="s">
        <v>186</v>
      </c>
    </row>
    <row r="21" ht="15.75">
      <c r="A21" s="7" t="s">
        <v>406</v>
      </c>
    </row>
    <row r="22" ht="14.25">
      <c r="B22" s="97" t="s">
        <v>376</v>
      </c>
    </row>
    <row r="23" ht="12.75">
      <c r="A23" s="1" t="s">
        <v>377</v>
      </c>
    </row>
    <row r="24" ht="12.75"/>
    <row r="25" ht="12.75"/>
    <row r="26" ht="12.75">
      <c r="A26" s="1" t="s">
        <v>208</v>
      </c>
    </row>
    <row r="27" ht="14.25">
      <c r="A27" s="1" t="s">
        <v>378</v>
      </c>
    </row>
    <row r="28" ht="12.75"/>
    <row r="29" ht="12.75"/>
    <row r="30" ht="12.75"/>
    <row r="31" ht="14.25">
      <c r="A31" s="1" t="s">
        <v>387</v>
      </c>
    </row>
    <row r="32" spans="1:2" ht="15.75">
      <c r="A32" s="8" t="s">
        <v>379</v>
      </c>
      <c r="B32" s="120">
        <v>1.4</v>
      </c>
    </row>
    <row r="33" spans="1:3" ht="15.75">
      <c r="A33" s="8" t="s">
        <v>380</v>
      </c>
      <c r="B33" s="120">
        <v>1</v>
      </c>
      <c r="C33" s="1" t="s">
        <v>381</v>
      </c>
    </row>
    <row r="34" ht="14.25">
      <c r="A34" s="113" t="s">
        <v>432</v>
      </c>
    </row>
    <row r="35" ht="12.75"/>
    <row r="36" ht="12.75"/>
    <row r="37" ht="12.75"/>
    <row r="38" spans="1:3" ht="15.75">
      <c r="A38" s="8" t="s">
        <v>382</v>
      </c>
      <c r="B38" s="120">
        <v>1</v>
      </c>
      <c r="C38" s="1" t="s">
        <v>391</v>
      </c>
    </row>
    <row r="39" ht="14.25">
      <c r="A39" s="1" t="s">
        <v>506</v>
      </c>
    </row>
    <row r="40" spans="1:3" ht="15.75">
      <c r="A40" s="8" t="s">
        <v>384</v>
      </c>
      <c r="B40" s="120">
        <v>300</v>
      </c>
      <c r="C40" s="1" t="s">
        <v>385</v>
      </c>
    </row>
    <row r="41" ht="14.25">
      <c r="A41" s="1" t="s">
        <v>388</v>
      </c>
    </row>
    <row r="42" spans="1:3" ht="15.75">
      <c r="A42" s="8" t="s">
        <v>386</v>
      </c>
      <c r="B42" s="96">
        <f>B38*B40*(B14/100)^2*3.142/4</f>
        <v>150.81600000000003</v>
      </c>
      <c r="C42" s="1" t="s">
        <v>186</v>
      </c>
    </row>
    <row r="43" ht="14.25">
      <c r="A43" s="113" t="s">
        <v>431</v>
      </c>
    </row>
    <row r="44" ht="12.75"/>
    <row r="45" ht="12.75"/>
    <row r="46" ht="12.75"/>
    <row r="47" ht="14.25">
      <c r="A47" s="1" t="s">
        <v>208</v>
      </c>
    </row>
    <row r="48" ht="14.25">
      <c r="A48" s="1" t="s">
        <v>389</v>
      </c>
    </row>
    <row r="49" spans="1:3" ht="15.75">
      <c r="A49" s="8" t="s">
        <v>390</v>
      </c>
      <c r="B49" s="145">
        <f>B14/100*3.142</f>
        <v>2.5136000000000003</v>
      </c>
      <c r="C49" s="1" t="s">
        <v>187</v>
      </c>
    </row>
    <row r="50" spans="1:3" ht="15.75">
      <c r="A50" s="8" t="s">
        <v>507</v>
      </c>
      <c r="B50" s="120">
        <v>1</v>
      </c>
      <c r="C50" s="1" t="s">
        <v>392</v>
      </c>
    </row>
    <row r="52" ht="14.25">
      <c r="A52" s="1" t="s">
        <v>393</v>
      </c>
    </row>
    <row r="53" spans="1:10" ht="14.25">
      <c r="A53" s="1" t="s">
        <v>394</v>
      </c>
      <c r="J53" s="93"/>
    </row>
    <row r="55" spans="1:4" ht="15.75">
      <c r="A55" s="99" t="s">
        <v>395</v>
      </c>
      <c r="B55" s="99" t="s">
        <v>396</v>
      </c>
      <c r="C55" s="99" t="s">
        <v>397</v>
      </c>
      <c r="D55" s="99" t="s">
        <v>398</v>
      </c>
    </row>
    <row r="56" spans="1:4" ht="15.75">
      <c r="A56" s="36">
        <v>2</v>
      </c>
      <c r="B56" s="115">
        <v>0.485</v>
      </c>
      <c r="C56" s="116">
        <v>0.5</v>
      </c>
      <c r="D56" s="101">
        <f>B56*C56</f>
        <v>0.2425</v>
      </c>
    </row>
    <row r="57" spans="1:4" ht="15.75">
      <c r="A57" s="36">
        <v>3</v>
      </c>
      <c r="B57" s="115">
        <v>4.15</v>
      </c>
      <c r="C57" s="116">
        <v>2.2</v>
      </c>
      <c r="D57" s="101">
        <f>B57*C57</f>
        <v>9.13</v>
      </c>
    </row>
    <row r="58" spans="1:4" ht="15.75">
      <c r="A58" s="36">
        <v>4</v>
      </c>
      <c r="B58" s="115">
        <v>1.083</v>
      </c>
      <c r="C58" s="116">
        <v>1.5</v>
      </c>
      <c r="D58" s="101">
        <f>B58*C58</f>
        <v>1.6244999999999998</v>
      </c>
    </row>
    <row r="59" spans="1:4" ht="15.75">
      <c r="A59" s="36">
        <v>5</v>
      </c>
      <c r="B59" s="115">
        <v>7.2</v>
      </c>
      <c r="C59" s="116">
        <v>19.2</v>
      </c>
      <c r="D59" s="101">
        <f>B59*C59</f>
        <v>138.24</v>
      </c>
    </row>
    <row r="60" spans="1:4" ht="15.75">
      <c r="A60" s="36" t="s">
        <v>399</v>
      </c>
      <c r="B60" s="100"/>
      <c r="C60" s="100"/>
      <c r="D60" s="101">
        <f>SUM(D56:D59)</f>
        <v>149.23700000000002</v>
      </c>
    </row>
    <row r="61" spans="1:4" ht="14.25">
      <c r="A61" s="3"/>
      <c r="B61" s="3"/>
      <c r="C61" s="3"/>
      <c r="D61" s="3"/>
    </row>
    <row r="62" ht="14.25">
      <c r="A62" s="1" t="s">
        <v>400</v>
      </c>
    </row>
    <row r="63" spans="1:3" ht="15.75">
      <c r="A63" s="8" t="s">
        <v>401</v>
      </c>
      <c r="B63" s="96">
        <f>B49*B50*D60</f>
        <v>375.1221232000001</v>
      </c>
      <c r="C63" s="1" t="s">
        <v>186</v>
      </c>
    </row>
    <row r="64" ht="14.25">
      <c r="A64" s="1" t="s">
        <v>402</v>
      </c>
    </row>
    <row r="65" spans="1:3" ht="15.75">
      <c r="A65" s="8" t="s">
        <v>403</v>
      </c>
      <c r="B65" s="96">
        <f>B33*(B42+B63)</f>
        <v>525.9381232000001</v>
      </c>
      <c r="C65" s="1" t="s">
        <v>186</v>
      </c>
    </row>
    <row r="66" ht="15.75">
      <c r="A66" s="2" t="s">
        <v>436</v>
      </c>
    </row>
    <row r="67" spans="1:3" ht="15.75">
      <c r="A67" s="103" t="s">
        <v>405</v>
      </c>
      <c r="B67" s="96">
        <f>B65/B32</f>
        <v>375.6700880000001</v>
      </c>
      <c r="C67" s="1" t="s">
        <v>186</v>
      </c>
    </row>
  </sheetData>
  <printOptions/>
  <pageMargins left="0.75" right="0.75" top="1" bottom="1" header="0.5" footer="0.5"/>
  <pageSetup horizontalDpi="600" verticalDpi="600" orientation="portrait" paperSize="9" r:id="rId7"/>
  <headerFooter alignWithMargins="0">
    <oddFooter>&amp;L&amp;"VNI-Helve-Condense,Normal"THIEÁT KEÁ: KS. NGUYEÃN TRAÀN KHOA
</oddFooter>
  </headerFooter>
  <legacyDrawing r:id="rId6"/>
  <oleObjects>
    <oleObject progId="Equation.3" shapeId="437689" r:id="rId1"/>
    <oleObject progId="Equation.3" shapeId="1354128" r:id="rId2"/>
    <oleObject progId="Equation.3" shapeId="1354152" r:id="rId3"/>
    <oleObject progId="Equation.3" shapeId="1354158" r:id="rId4"/>
    <oleObject progId="Equation.3" shapeId="1354159" r:id="rId5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B15" sqref="B15"/>
    </sheetView>
  </sheetViews>
  <sheetFormatPr defaultColWidth="9.140625" defaultRowHeight="12.75"/>
  <cols>
    <col min="1" max="1" width="9.57421875" style="41" customWidth="1"/>
    <col min="2" max="2" width="8.57421875" style="41" customWidth="1"/>
    <col min="3" max="3" width="9.140625" style="41" customWidth="1"/>
    <col min="4" max="4" width="7.7109375" style="41" customWidth="1"/>
    <col min="5" max="5" width="8.28125" style="41" customWidth="1"/>
    <col min="6" max="6" width="7.57421875" style="41" customWidth="1"/>
    <col min="7" max="7" width="7.8515625" style="41" customWidth="1"/>
    <col min="8" max="8" width="9.00390625" style="41" customWidth="1"/>
    <col min="9" max="9" width="8.28125" style="41" customWidth="1"/>
    <col min="10" max="16384" width="9.140625" style="41" customWidth="1"/>
  </cols>
  <sheetData>
    <row r="1" ht="18">
      <c r="A1" s="170" t="s">
        <v>5</v>
      </c>
    </row>
    <row r="2" spans="1:3" ht="15.75">
      <c r="A2" s="43" t="s">
        <v>67</v>
      </c>
      <c r="C2" s="169" t="str">
        <f>'MONG COC KHOAN NHOI'!$D$2</f>
        <v>M1</v>
      </c>
    </row>
    <row r="3" ht="14.25">
      <c r="A3" s="41" t="s">
        <v>171</v>
      </c>
    </row>
    <row r="4" ht="14.25">
      <c r="A4" s="41" t="s">
        <v>172</v>
      </c>
    </row>
    <row r="5" ht="12.75">
      <c r="A5" s="42" t="s">
        <v>196</v>
      </c>
    </row>
    <row r="6" ht="12.75"/>
    <row r="7" ht="12.75">
      <c r="C7" s="41" t="s">
        <v>195</v>
      </c>
    </row>
    <row r="8" ht="12.75"/>
    <row r="9" ht="15.75">
      <c r="A9" s="42" t="s">
        <v>197</v>
      </c>
    </row>
    <row r="10" ht="12.75"/>
    <row r="11" ht="12.75"/>
    <row r="12" ht="12.75"/>
    <row r="13" ht="14.25">
      <c r="A13" s="41" t="s">
        <v>188</v>
      </c>
    </row>
    <row r="14" spans="2:4" ht="16.5">
      <c r="B14" s="151" t="s">
        <v>90</v>
      </c>
      <c r="C14" s="48">
        <f>'MONG COC KHOAN NHOI'!$B$92</f>
        <v>29.49402670782974</v>
      </c>
      <c r="D14" s="41" t="s">
        <v>198</v>
      </c>
    </row>
    <row r="15" spans="2:4" ht="16.5">
      <c r="B15" s="151" t="s">
        <v>91</v>
      </c>
      <c r="C15" s="159">
        <f>'MONG COC KHOAN NHOI'!$D$74</f>
        <v>25.275399999999998</v>
      </c>
      <c r="D15" s="41" t="s">
        <v>198</v>
      </c>
    </row>
    <row r="16" spans="2:4" ht="15.75">
      <c r="B16" s="41" t="s">
        <v>92</v>
      </c>
      <c r="C16" s="161">
        <f>'MONG COC KHOAN NHOI'!$D$63</f>
        <v>6.316395055270702</v>
      </c>
      <c r="D16" s="152" t="s">
        <v>27</v>
      </c>
    </row>
    <row r="17" spans="2:4" ht="15.75">
      <c r="B17" s="41" t="s">
        <v>93</v>
      </c>
      <c r="C17" s="161">
        <f>'MONG COC KHOAN NHOI'!$D$60</f>
        <v>7.916395055270702</v>
      </c>
      <c r="D17" s="152" t="s">
        <v>28</v>
      </c>
    </row>
    <row r="18" spans="2:4" ht="16.5">
      <c r="B18" s="151" t="s">
        <v>94</v>
      </c>
      <c r="C18" s="160">
        <f>'MONG COC KHOAN NHOI'!$C$73</f>
        <v>0.876</v>
      </c>
      <c r="D18" s="41" t="s">
        <v>29</v>
      </c>
    </row>
    <row r="19" ht="14.25">
      <c r="D19" s="41" t="s">
        <v>30</v>
      </c>
    </row>
    <row r="20" spans="1:5" ht="16.5">
      <c r="A20" s="41" t="s">
        <v>193</v>
      </c>
      <c r="B20" s="151" t="s">
        <v>95</v>
      </c>
      <c r="C20" s="48">
        <f>C14-C15</f>
        <v>4.218626707829742</v>
      </c>
      <c r="D20" s="42"/>
      <c r="E20" s="41" t="s">
        <v>198</v>
      </c>
    </row>
    <row r="22" spans="1:8" ht="15.75">
      <c r="A22" s="41" t="s">
        <v>96</v>
      </c>
      <c r="F22" s="47"/>
      <c r="G22" s="48">
        <f>C16/5</f>
        <v>1.2632790110541403</v>
      </c>
      <c r="H22" s="41" t="s">
        <v>187</v>
      </c>
    </row>
    <row r="23" ht="15.75">
      <c r="A23" s="43" t="s">
        <v>199</v>
      </c>
    </row>
    <row r="24" spans="2:4" ht="16.5">
      <c r="B24" s="153" t="s">
        <v>202</v>
      </c>
      <c r="C24" s="42"/>
      <c r="D24" s="41" t="s">
        <v>198</v>
      </c>
    </row>
    <row r="25" spans="2:4" ht="16.5">
      <c r="B25" s="154" t="s">
        <v>6</v>
      </c>
      <c r="C25" s="163" t="s">
        <v>7</v>
      </c>
      <c r="D25" s="41" t="s">
        <v>198</v>
      </c>
    </row>
    <row r="27" spans="1:8" ht="16.5">
      <c r="A27" s="147" t="s">
        <v>200</v>
      </c>
      <c r="B27" s="37" t="s">
        <v>23</v>
      </c>
      <c r="C27" s="148" t="s">
        <v>3</v>
      </c>
      <c r="D27" s="37" t="s">
        <v>4</v>
      </c>
      <c r="E27" s="37" t="s">
        <v>201</v>
      </c>
      <c r="F27" s="38" t="s">
        <v>18</v>
      </c>
      <c r="G27" s="38" t="s">
        <v>19</v>
      </c>
      <c r="H27" s="38" t="s">
        <v>20</v>
      </c>
    </row>
    <row r="28" spans="1:8" ht="15.75">
      <c r="A28" s="162">
        <v>0</v>
      </c>
      <c r="B28" s="155">
        <f>A28*$G$22</f>
        <v>0</v>
      </c>
      <c r="C28" s="166">
        <f>$C$17/$C$16</f>
        <v>1.2533090451118767</v>
      </c>
      <c r="D28" s="82">
        <f>2*B28/$C$16</f>
        <v>0</v>
      </c>
      <c r="E28" s="64">
        <v>1</v>
      </c>
      <c r="F28" s="65">
        <f>$C$20*E28</f>
        <v>4.218626707829742</v>
      </c>
      <c r="G28" s="65">
        <f>$C$18*B28+$C$15</f>
        <v>25.275399999999998</v>
      </c>
      <c r="H28" s="65">
        <f>G28/F28</f>
        <v>5.991381022902318</v>
      </c>
    </row>
    <row r="29" spans="1:8" ht="15.75">
      <c r="A29" s="162">
        <v>1</v>
      </c>
      <c r="B29" s="155">
        <f>A29*$G$22</f>
        <v>1.2632790110541403</v>
      </c>
      <c r="C29" s="166">
        <f>$C$17/$C$16</f>
        <v>1.2533090451118767</v>
      </c>
      <c r="D29" s="82">
        <f>2*B29/$C$16</f>
        <v>0.39999999999999997</v>
      </c>
      <c r="E29" s="64">
        <v>0.96</v>
      </c>
      <c r="F29" s="65">
        <f>$C$20*E29</f>
        <v>4.049881639516552</v>
      </c>
      <c r="G29" s="65">
        <f>$C$18*B29+$C$15</f>
        <v>26.382032413683426</v>
      </c>
      <c r="H29" s="65">
        <f>G29/F29</f>
        <v>6.514272455832249</v>
      </c>
    </row>
    <row r="30" spans="1:8" ht="15.75">
      <c r="A30" s="162">
        <v>2</v>
      </c>
      <c r="B30" s="155">
        <f>A30*$G$22</f>
        <v>2.5265580221082806</v>
      </c>
      <c r="C30" s="166">
        <f>$C$17/$C$16</f>
        <v>1.2533090451118767</v>
      </c>
      <c r="D30" s="82">
        <f>2*B30/$C$16</f>
        <v>0.7999999999999999</v>
      </c>
      <c r="E30" s="64">
        <v>0.8</v>
      </c>
      <c r="F30" s="65">
        <f>$C$20*E30</f>
        <v>3.374901366263794</v>
      </c>
      <c r="G30" s="65">
        <f>$C$18*B30+$C$15</f>
        <v>27.48866482736685</v>
      </c>
      <c r="H30" s="65">
        <f>G30/F30</f>
        <v>8.145027615369498</v>
      </c>
    </row>
    <row r="31" spans="1:8" ht="15.75">
      <c r="A31" s="162">
        <v>3</v>
      </c>
      <c r="B31" s="155">
        <f>A31*$G$22</f>
        <v>3.7898370331624207</v>
      </c>
      <c r="C31" s="166">
        <f>$C$17/$C$16</f>
        <v>1.2533090451118767</v>
      </c>
      <c r="D31" s="82">
        <f>2*B31/$C$16</f>
        <v>1.2</v>
      </c>
      <c r="E31" s="64">
        <v>0.606</v>
      </c>
      <c r="F31" s="65">
        <f>$C$20*E31</f>
        <v>2.5564877849448235</v>
      </c>
      <c r="G31" s="65">
        <f>$C$18*B31+$C$15</f>
        <v>28.59529724105028</v>
      </c>
      <c r="H31" s="65">
        <f>G31/F31</f>
        <v>11.18538387292449</v>
      </c>
    </row>
    <row r="32" spans="1:8" ht="15.75">
      <c r="A32" s="162">
        <v>4</v>
      </c>
      <c r="B32" s="155">
        <f>A32*$G$22</f>
        <v>5.053116044216561</v>
      </c>
      <c r="C32" s="166">
        <f>$C$17/$C$16</f>
        <v>1.2533090451118767</v>
      </c>
      <c r="D32" s="82">
        <f>2*B32/$C$16</f>
        <v>1.5999999999999999</v>
      </c>
      <c r="E32" s="64">
        <v>0.449</v>
      </c>
      <c r="F32" s="65">
        <f>$C$20*E32</f>
        <v>1.8941633918155543</v>
      </c>
      <c r="G32" s="65">
        <f>$C$18*B32+$C$15</f>
        <v>29.701929654733704</v>
      </c>
      <c r="H32" s="65">
        <f>G32/F32</f>
        <v>15.68076427993069</v>
      </c>
    </row>
    <row r="34" ht="15.75">
      <c r="A34" s="41" t="s">
        <v>115</v>
      </c>
    </row>
    <row r="36" ht="15.75">
      <c r="A36" s="43" t="s">
        <v>203</v>
      </c>
    </row>
    <row r="37" spans="1:10" ht="16.5">
      <c r="A37" s="37" t="s">
        <v>204</v>
      </c>
      <c r="B37" s="37" t="s">
        <v>22</v>
      </c>
      <c r="C37" s="38" t="s">
        <v>10</v>
      </c>
      <c r="D37" s="37" t="s">
        <v>11</v>
      </c>
      <c r="E37" s="38" t="s">
        <v>12</v>
      </c>
      <c r="F37" s="38" t="s">
        <v>13</v>
      </c>
      <c r="G37" s="37" t="s">
        <v>14</v>
      </c>
      <c r="H37" s="37" t="s">
        <v>15</v>
      </c>
      <c r="I37" s="37" t="s">
        <v>16</v>
      </c>
      <c r="J37" s="37" t="s">
        <v>17</v>
      </c>
    </row>
    <row r="38" spans="1:10" ht="15.75">
      <c r="A38" s="228">
        <v>1</v>
      </c>
      <c r="B38" s="229">
        <f>$G$22*100</f>
        <v>126.32790110541403</v>
      </c>
      <c r="C38" s="76">
        <f>G28/10</f>
        <v>2.5275399999999997</v>
      </c>
      <c r="D38" s="225">
        <f>(C38+C39)/2</f>
        <v>2.582871620684171</v>
      </c>
      <c r="E38" s="76">
        <f>F28/10</f>
        <v>0.4218626707829742</v>
      </c>
      <c r="F38" s="225">
        <f>(E38+E39)/2</f>
        <v>0.41342541736731464</v>
      </c>
      <c r="G38" s="225">
        <f>D38+F38</f>
        <v>2.9962970380514857</v>
      </c>
      <c r="H38" s="235">
        <v>0.58</v>
      </c>
      <c r="I38" s="235">
        <v>0.57</v>
      </c>
      <c r="J38" s="225">
        <f>(H38-I38)*B38/(1+H38)</f>
        <v>0.7995436778823679</v>
      </c>
    </row>
    <row r="39" spans="1:10" ht="15.75">
      <c r="A39" s="228"/>
      <c r="B39" s="229"/>
      <c r="C39" s="76">
        <f>G29/10</f>
        <v>2.6382032413683425</v>
      </c>
      <c r="D39" s="225"/>
      <c r="E39" s="76">
        <f>F29/10</f>
        <v>0.40498816395165516</v>
      </c>
      <c r="F39" s="225"/>
      <c r="G39" s="225"/>
      <c r="H39" s="235"/>
      <c r="I39" s="235"/>
      <c r="J39" s="225"/>
    </row>
    <row r="40" spans="1:10" ht="15.75">
      <c r="A40" s="228">
        <v>2</v>
      </c>
      <c r="B40" s="229">
        <f>$G$22*100</f>
        <v>126.32790110541403</v>
      </c>
      <c r="C40" s="76">
        <f>G29/10</f>
        <v>2.6382032413683425</v>
      </c>
      <c r="D40" s="225">
        <f>(C40+C41)/2</f>
        <v>2.6935348620525135</v>
      </c>
      <c r="E40" s="76">
        <f>F29/10</f>
        <v>0.40498816395165516</v>
      </c>
      <c r="F40" s="225">
        <f>(E40+E41)/2</f>
        <v>0.3712391502890173</v>
      </c>
      <c r="G40" s="225">
        <f>D40+F40</f>
        <v>3.064774012341531</v>
      </c>
      <c r="H40" s="235">
        <v>0.577</v>
      </c>
      <c r="I40" s="235">
        <v>0.569</v>
      </c>
      <c r="J40" s="225">
        <f>(H40-I40)*B40/(1+H40)</f>
        <v>0.640851749425056</v>
      </c>
    </row>
    <row r="41" spans="1:10" ht="15.75">
      <c r="A41" s="228"/>
      <c r="B41" s="229"/>
      <c r="C41" s="76">
        <f>G30/10</f>
        <v>2.748866482736685</v>
      </c>
      <c r="D41" s="225"/>
      <c r="E41" s="76">
        <f>F30/10</f>
        <v>0.3374901366263794</v>
      </c>
      <c r="F41" s="225"/>
      <c r="G41" s="225"/>
      <c r="H41" s="235"/>
      <c r="I41" s="235"/>
      <c r="J41" s="225"/>
    </row>
    <row r="42" spans="1:10" ht="15.75">
      <c r="A42" s="228">
        <v>3</v>
      </c>
      <c r="B42" s="229">
        <f>$G$22*100</f>
        <v>126.32790110541403</v>
      </c>
      <c r="C42" s="76">
        <f>G30/10</f>
        <v>2.748866482736685</v>
      </c>
      <c r="D42" s="225">
        <f>(C42+C43)/2</f>
        <v>2.8041981034208563</v>
      </c>
      <c r="E42" s="76">
        <f>F30/10</f>
        <v>0.3374901366263794</v>
      </c>
      <c r="F42" s="225">
        <f>(E42+E43)/2</f>
        <v>0.29656945756043085</v>
      </c>
      <c r="G42" s="225">
        <f>D42+F42</f>
        <v>3.100767560981287</v>
      </c>
      <c r="H42" s="235">
        <v>0.576</v>
      </c>
      <c r="I42" s="235">
        <v>0.569</v>
      </c>
      <c r="J42" s="225">
        <f>(H42-I42)*B42/(1+H42)</f>
        <v>0.5611010835900374</v>
      </c>
    </row>
    <row r="43" spans="1:10" ht="15.75">
      <c r="A43" s="228"/>
      <c r="B43" s="229"/>
      <c r="C43" s="76">
        <f>G31/10</f>
        <v>2.8595297241050277</v>
      </c>
      <c r="D43" s="225"/>
      <c r="E43" s="76">
        <f>F31/10</f>
        <v>0.25564877849448236</v>
      </c>
      <c r="F43" s="225"/>
      <c r="G43" s="225"/>
      <c r="H43" s="235"/>
      <c r="I43" s="235"/>
      <c r="J43" s="225"/>
    </row>
    <row r="44" spans="1:10" ht="15.75">
      <c r="A44" s="228">
        <v>4</v>
      </c>
      <c r="B44" s="229">
        <f>$G$22*100</f>
        <v>126.32790110541403</v>
      </c>
      <c r="C44" s="76">
        <f>G31/10</f>
        <v>2.8595297241050277</v>
      </c>
      <c r="D44" s="225">
        <f>(C44+C45)/2</f>
        <v>2.914861344789199</v>
      </c>
      <c r="E44" s="76">
        <f>F31/10</f>
        <v>0.25564877849448236</v>
      </c>
      <c r="F44" s="225">
        <f>(E44+E45)/2</f>
        <v>0.2225325588380189</v>
      </c>
      <c r="G44" s="225">
        <f>D44+F44</f>
        <v>3.137393903627218</v>
      </c>
      <c r="H44" s="235">
        <v>0</v>
      </c>
      <c r="I44" s="235">
        <v>0</v>
      </c>
      <c r="J44" s="225">
        <f>(H44-I44)*B44/(1+H44)</f>
        <v>0</v>
      </c>
    </row>
    <row r="45" spans="1:10" ht="15.75">
      <c r="A45" s="228"/>
      <c r="B45" s="229"/>
      <c r="C45" s="76">
        <f>G32/10</f>
        <v>2.9701929654733705</v>
      </c>
      <c r="D45" s="225"/>
      <c r="E45" s="76">
        <f>F32/10</f>
        <v>0.18941633918155543</v>
      </c>
      <c r="F45" s="225"/>
      <c r="G45" s="225"/>
      <c r="H45" s="235"/>
      <c r="I45" s="235"/>
      <c r="J45" s="225"/>
    </row>
    <row r="46" spans="1:10" ht="15.75">
      <c r="A46" s="164" t="s">
        <v>205</v>
      </c>
      <c r="B46" s="165"/>
      <c r="C46" s="165"/>
      <c r="D46" s="165"/>
      <c r="E46" s="165"/>
      <c r="F46" s="165"/>
      <c r="G46" s="156"/>
      <c r="H46" s="156"/>
      <c r="I46" s="157"/>
      <c r="J46" s="76">
        <f>SUM(J38:J45)</f>
        <v>2.001496510897461</v>
      </c>
    </row>
    <row r="48" ht="15.75">
      <c r="A48" s="158" t="s">
        <v>206</v>
      </c>
    </row>
    <row r="49" ht="14.25">
      <c r="A49" s="41" t="s">
        <v>21</v>
      </c>
    </row>
    <row r="50" ht="14.25">
      <c r="A50" s="41" t="s">
        <v>207</v>
      </c>
    </row>
    <row r="51" ht="12.75"/>
    <row r="52" ht="12.75"/>
    <row r="53" ht="12.75"/>
    <row r="54" ht="12.75"/>
    <row r="55" ht="12.75"/>
    <row r="56" spans="1:3" ht="14.25">
      <c r="A56" s="150" t="s">
        <v>316</v>
      </c>
      <c r="C56" s="70"/>
    </row>
    <row r="57" ht="14.25">
      <c r="B57" s="189" t="str">
        <f>IF(J46&lt;8,"Ta coù S &lt; Sgh = 8cm, do ñoù thoaû maõn yeâu caàu bieán daïng."," Ta coù S &gt; Sgh, vaäy khoâng thoaû yeâu caàu bieán daïng.")</f>
        <v>Ta coù S &lt; Sgh = 8cm, do ñoù thoaû maõn yeâu caàu bieán daïng.</v>
      </c>
    </row>
  </sheetData>
  <mergeCells count="32">
    <mergeCell ref="G44:G45"/>
    <mergeCell ref="H44:H45"/>
    <mergeCell ref="I44:I45"/>
    <mergeCell ref="J44:J45"/>
    <mergeCell ref="A44:A45"/>
    <mergeCell ref="B44:B45"/>
    <mergeCell ref="D44:D45"/>
    <mergeCell ref="F44:F45"/>
    <mergeCell ref="G42:G43"/>
    <mergeCell ref="H42:H43"/>
    <mergeCell ref="I42:I43"/>
    <mergeCell ref="J42:J43"/>
    <mergeCell ref="A42:A43"/>
    <mergeCell ref="B42:B43"/>
    <mergeCell ref="D42:D43"/>
    <mergeCell ref="F42:F43"/>
    <mergeCell ref="G40:G41"/>
    <mergeCell ref="H40:H41"/>
    <mergeCell ref="I40:I41"/>
    <mergeCell ref="J40:J41"/>
    <mergeCell ref="A40:A41"/>
    <mergeCell ref="B40:B41"/>
    <mergeCell ref="D40:D41"/>
    <mergeCell ref="F40:F41"/>
    <mergeCell ref="G38:G39"/>
    <mergeCell ref="H38:H39"/>
    <mergeCell ref="I38:I39"/>
    <mergeCell ref="J38:J39"/>
    <mergeCell ref="A38:A39"/>
    <mergeCell ref="B38:B39"/>
    <mergeCell ref="D38:D39"/>
    <mergeCell ref="F38:F39"/>
  </mergeCells>
  <printOptions/>
  <pageMargins left="0.75" right="0.62" top="0.5" bottom="1" header="0.5" footer="0.5"/>
  <pageSetup horizontalDpi="600" verticalDpi="600" orientation="portrait" paperSize="9" r:id="rId7"/>
  <headerFooter alignWithMargins="0">
    <oddFooter>&amp;L&amp;"VNI-Times,Normal"THIEÁT KEÁ: KS. NGUYEÃN TRAÀN KHOA</oddFooter>
  </headerFooter>
  <legacyDrawing r:id="rId6"/>
  <oleObjects>
    <oleObject progId="Equation.3" shapeId="572347" r:id="rId1"/>
    <oleObject progId="Equation.3" shapeId="572348" r:id="rId2"/>
    <oleObject progId="Equation.3" shapeId="572351" r:id="rId3"/>
    <oleObject progId="Equation.3" shapeId="572352" r:id="rId4"/>
    <oleObject progId="Equation.3" shapeId="572353" r:id="rId5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C10" sqref="C10"/>
    </sheetView>
  </sheetViews>
  <sheetFormatPr defaultColWidth="9.140625" defaultRowHeight="12.75"/>
  <cols>
    <col min="1" max="2" width="9.140625" style="1" customWidth="1"/>
    <col min="3" max="3" width="10.8515625" style="1" bestFit="1" customWidth="1"/>
    <col min="4" max="16384" width="9.140625" style="1" customWidth="1"/>
  </cols>
  <sheetData>
    <row r="1" ht="15.75">
      <c r="A1" s="6" t="s">
        <v>584</v>
      </c>
    </row>
    <row r="2" ht="14.25">
      <c r="A2" s="203" t="s">
        <v>557</v>
      </c>
    </row>
    <row r="3" spans="1:4" ht="15.75">
      <c r="A3" s="1" t="s">
        <v>562</v>
      </c>
      <c r="C3" s="120" t="s">
        <v>595</v>
      </c>
      <c r="D3" s="1" t="s">
        <v>563</v>
      </c>
    </row>
    <row r="4" spans="1:4" ht="15.75">
      <c r="A4" s="1" t="s">
        <v>545</v>
      </c>
      <c r="C4" s="119">
        <v>24</v>
      </c>
      <c r="D4" s="1" t="s">
        <v>546</v>
      </c>
    </row>
    <row r="5" spans="1:4" ht="15.75">
      <c r="A5" s="1" t="s">
        <v>547</v>
      </c>
      <c r="C5" s="119">
        <v>0.3</v>
      </c>
      <c r="D5" s="1" t="s">
        <v>546</v>
      </c>
    </row>
    <row r="6" spans="1:3" ht="15.75">
      <c r="A6" s="1" t="s">
        <v>551</v>
      </c>
      <c r="C6" s="119">
        <v>300</v>
      </c>
    </row>
    <row r="7" spans="1:4" ht="15.75">
      <c r="A7" s="1" t="s">
        <v>550</v>
      </c>
      <c r="C7" s="94">
        <f>VLOOKUP($C$6,VATLIEU!A3:F10,6,0)</f>
        <v>290000</v>
      </c>
      <c r="D7" s="1" t="s">
        <v>552</v>
      </c>
    </row>
    <row r="8" spans="1:4" ht="15.75">
      <c r="A8" s="1" t="s">
        <v>556</v>
      </c>
      <c r="C8" s="94">
        <f>VLOOKUP($C$6,VATLIEU!A4:F11,2,0)</f>
        <v>130</v>
      </c>
      <c r="D8" s="1" t="s">
        <v>552</v>
      </c>
    </row>
    <row r="9" spans="1:3" ht="15.75">
      <c r="A9" s="1" t="s">
        <v>553</v>
      </c>
      <c r="C9" s="120" t="s">
        <v>225</v>
      </c>
    </row>
    <row r="10" spans="1:4" ht="15.75">
      <c r="A10" s="1" t="s">
        <v>554</v>
      </c>
      <c r="C10" s="94">
        <f>VLOOKUP($C$9,VATLIEU!H3:L9,4,0)</f>
        <v>2100000</v>
      </c>
      <c r="D10" s="1" t="s">
        <v>552</v>
      </c>
    </row>
    <row r="11" spans="1:4" ht="15.75">
      <c r="A11" s="1" t="s">
        <v>555</v>
      </c>
      <c r="C11" s="94">
        <f>VLOOKUP($C$9,VATLIEU!H4:L10,2,0)</f>
        <v>2800</v>
      </c>
      <c r="D11" s="1" t="s">
        <v>552</v>
      </c>
    </row>
    <row r="12" spans="1:3" ht="15.75">
      <c r="A12" s="203" t="s">
        <v>558</v>
      </c>
      <c r="C12" s="6"/>
    </row>
    <row r="13" spans="1:4" ht="15.75">
      <c r="A13" s="1" t="s">
        <v>548</v>
      </c>
      <c r="C13" s="119">
        <v>17.5</v>
      </c>
      <c r="D13" s="1" t="s">
        <v>295</v>
      </c>
    </row>
    <row r="14" spans="1:4" ht="15.75">
      <c r="A14" s="1" t="s">
        <v>549</v>
      </c>
      <c r="C14" s="119">
        <v>9.52</v>
      </c>
      <c r="D14" s="1" t="s">
        <v>186</v>
      </c>
    </row>
    <row r="15" ht="14.25">
      <c r="A15" s="203" t="s">
        <v>559</v>
      </c>
    </row>
    <row r="16" ht="14.25">
      <c r="A16" s="1" t="s">
        <v>560</v>
      </c>
    </row>
    <row r="17" spans="2:4" ht="15.75">
      <c r="B17" s="8" t="s">
        <v>561</v>
      </c>
      <c r="C17" s="204">
        <f>IF(C3="V",C5^4/12,IF(C3="T",3.142*C5^4/64,"Loaïi coïc gì?"))</f>
        <v>0.0006749999999999999</v>
      </c>
      <c r="D17" s="1" t="s">
        <v>564</v>
      </c>
    </row>
    <row r="18" ht="14.25">
      <c r="A18" s="1" t="s">
        <v>565</v>
      </c>
    </row>
    <row r="19" spans="2:4" ht="15.75">
      <c r="B19" s="8" t="s">
        <v>566</v>
      </c>
      <c r="C19" s="96">
        <f>C7*C17*10</f>
        <v>1957.4999999999998</v>
      </c>
      <c r="D19" s="1" t="s">
        <v>567</v>
      </c>
    </row>
    <row r="20" ht="14.25">
      <c r="A20" s="1" t="s">
        <v>568</v>
      </c>
    </row>
    <row r="21" spans="2:4" ht="15.75">
      <c r="B21" s="8" t="s">
        <v>569</v>
      </c>
      <c r="C21" s="95">
        <f>IF(C5&gt;=0.8,1+C5,1.5*C5+0.5)</f>
        <v>0.95</v>
      </c>
      <c r="D21" s="1" t="s">
        <v>187</v>
      </c>
    </row>
    <row r="22" ht="14.25">
      <c r="A22" s="1" t="s">
        <v>570</v>
      </c>
    </row>
    <row r="23" spans="2:4" ht="15.75">
      <c r="B23" s="8" t="s">
        <v>571</v>
      </c>
      <c r="C23" s="119">
        <v>500</v>
      </c>
      <c r="D23" s="1" t="s">
        <v>572</v>
      </c>
    </row>
    <row r="24" ht="14.25">
      <c r="A24" s="1" t="s">
        <v>573</v>
      </c>
    </row>
    <row r="25" ht="12.75"/>
    <row r="26" ht="12.75"/>
    <row r="27" ht="12.75"/>
    <row r="28" ht="12.75"/>
    <row r="30" spans="2:4" ht="16.5">
      <c r="B30" s="92" t="s">
        <v>574</v>
      </c>
      <c r="C30" s="95">
        <f>(C23*C21/C19)^(1/5)</f>
        <v>0.7533527323818827</v>
      </c>
      <c r="D30" s="1" t="s">
        <v>575</v>
      </c>
    </row>
    <row r="31" ht="14.25">
      <c r="A31" s="1" t="s">
        <v>576</v>
      </c>
    </row>
    <row r="32" spans="2:4" ht="15.75">
      <c r="B32" s="8" t="s">
        <v>577</v>
      </c>
      <c r="C32" s="95">
        <f>C30*C4</f>
        <v>18.080465577165185</v>
      </c>
      <c r="D32" s="1" t="s">
        <v>578</v>
      </c>
    </row>
    <row r="33" ht="14.25">
      <c r="A33" s="1" t="s">
        <v>579</v>
      </c>
    </row>
    <row r="34" spans="2:3" ht="15.75">
      <c r="B34" s="8" t="s">
        <v>580</v>
      </c>
      <c r="C34" s="119">
        <v>2.441</v>
      </c>
    </row>
    <row r="35" spans="2:3" ht="15.75">
      <c r="B35" s="8" t="s">
        <v>581</v>
      </c>
      <c r="C35" s="119">
        <v>1.621</v>
      </c>
    </row>
    <row r="36" spans="2:3" ht="15.75">
      <c r="B36" s="8" t="s">
        <v>582</v>
      </c>
      <c r="C36" s="119">
        <v>1.751</v>
      </c>
    </row>
    <row r="37" ht="14.25">
      <c r="A37" s="1" t="s">
        <v>583</v>
      </c>
    </row>
    <row r="38" spans="2:4" ht="15.75">
      <c r="B38" s="92" t="s">
        <v>585</v>
      </c>
      <c r="C38" s="205">
        <f>C34/(C30^3*C19)</f>
        <v>0.0029165599335668918</v>
      </c>
      <c r="D38" s="1" t="s">
        <v>586</v>
      </c>
    </row>
    <row r="39" spans="2:4" ht="16.5">
      <c r="B39" s="92" t="s">
        <v>587</v>
      </c>
      <c r="C39" s="205">
        <f>C35/(C30^2*C19)</f>
        <v>0.0014590981558665693</v>
      </c>
      <c r="D39" s="1" t="s">
        <v>588</v>
      </c>
    </row>
    <row r="40" spans="2:4" ht="16.5">
      <c r="B40" s="92" t="s">
        <v>589</v>
      </c>
      <c r="C40" s="205">
        <f>C36/(C30*C19)</f>
        <v>0.0011873698241946738</v>
      </c>
      <c r="D40" s="1" t="s">
        <v>590</v>
      </c>
    </row>
    <row r="41" ht="14.25">
      <c r="A41" s="1" t="s">
        <v>591</v>
      </c>
    </row>
    <row r="42" spans="2:4" ht="15.75">
      <c r="B42" s="8" t="s">
        <v>592</v>
      </c>
      <c r="C42" s="206">
        <f>C14*C38+C39*C13</f>
        <v>0.05329986829522177</v>
      </c>
      <c r="D42" s="1" t="s">
        <v>187</v>
      </c>
    </row>
    <row r="43" spans="1:3" ht="15.75">
      <c r="A43" s="1" t="s">
        <v>593</v>
      </c>
      <c r="B43" s="8"/>
      <c r="C43" s="206"/>
    </row>
    <row r="44" spans="2:4" ht="15.75">
      <c r="B44" s="92" t="s">
        <v>594</v>
      </c>
      <c r="C44" s="206">
        <f>C14*C39+C40*C13</f>
        <v>0.03466958636725653</v>
      </c>
      <c r="D44" s="1" t="s">
        <v>211</v>
      </c>
    </row>
    <row r="45" ht="15.75">
      <c r="A45" s="7" t="s">
        <v>266</v>
      </c>
    </row>
    <row r="46" ht="14.25">
      <c r="A46" s="104" t="s">
        <v>602</v>
      </c>
    </row>
    <row r="47" ht="14.25">
      <c r="A47" s="104" t="s">
        <v>603</v>
      </c>
    </row>
    <row r="48" spans="1:4" ht="15.75">
      <c r="A48" s="104"/>
      <c r="B48" s="8" t="s">
        <v>600</v>
      </c>
      <c r="C48" s="119">
        <v>1.5</v>
      </c>
      <c r="D48" s="1" t="s">
        <v>601</v>
      </c>
    </row>
    <row r="49" spans="1:3" ht="15.75">
      <c r="A49" s="1" t="s">
        <v>596</v>
      </c>
      <c r="B49" s="8"/>
      <c r="C49" s="207"/>
    </row>
    <row r="50" spans="2:3" ht="12.75">
      <c r="B50" s="8"/>
      <c r="C50" s="207"/>
    </row>
    <row r="51" spans="2:3" ht="12.75">
      <c r="B51" s="8"/>
      <c r="C51" s="207"/>
    </row>
    <row r="52" spans="2:3" ht="12.75">
      <c r="B52" s="8"/>
      <c r="C52" s="207"/>
    </row>
    <row r="53" ht="12.75"/>
    <row r="54" ht="12.75"/>
    <row r="55" spans="2:4" ht="15.75">
      <c r="B55" s="92" t="s">
        <v>598</v>
      </c>
      <c r="C55" s="206">
        <f>C42+C44*C48+C14*C48^3/3/C19+C13*C48^2/2/C19</f>
        <v>0.12083298347829047</v>
      </c>
      <c r="D55" s="1" t="s">
        <v>187</v>
      </c>
    </row>
    <row r="56" ht="13.5" customHeight="1">
      <c r="A56" s="1" t="s">
        <v>597</v>
      </c>
    </row>
    <row r="57" ht="13.5" customHeight="1"/>
    <row r="58" ht="13.5" customHeight="1"/>
    <row r="59" ht="13.5" customHeight="1"/>
    <row r="60" ht="13.5" customHeight="1"/>
    <row r="61" ht="13.5" customHeight="1"/>
    <row r="62" spans="2:4" ht="15.75">
      <c r="B62" s="92" t="s">
        <v>599</v>
      </c>
      <c r="C62" s="206">
        <f>C44+(C14*C48^2)/2/C19+C13*C48/C19</f>
        <v>0.05355081242089638</v>
      </c>
      <c r="D62" s="1" t="s">
        <v>211</v>
      </c>
    </row>
    <row r="64" ht="16.5">
      <c r="A64" s="2" t="s">
        <v>610</v>
      </c>
    </row>
    <row r="65" spans="1:7" ht="14.25">
      <c r="A65" s="35" t="s">
        <v>604</v>
      </c>
      <c r="B65" s="35" t="s">
        <v>605</v>
      </c>
      <c r="C65" s="35" t="s">
        <v>606</v>
      </c>
      <c r="D65" s="35" t="s">
        <v>607</v>
      </c>
      <c r="E65" s="35" t="s">
        <v>608</v>
      </c>
      <c r="F65" s="35" t="s">
        <v>609</v>
      </c>
      <c r="G65" s="35" t="s">
        <v>611</v>
      </c>
    </row>
    <row r="66" spans="1:7" ht="14.25">
      <c r="A66" s="35" t="s">
        <v>187</v>
      </c>
      <c r="B66" s="35" t="s">
        <v>187</v>
      </c>
      <c r="C66" s="35"/>
      <c r="D66" s="35"/>
      <c r="E66" s="35"/>
      <c r="F66" s="35"/>
      <c r="G66" s="35" t="s">
        <v>385</v>
      </c>
    </row>
    <row r="67" ht="14.25">
      <c r="B67" s="1">
        <v>0</v>
      </c>
    </row>
    <row r="68" ht="14.25">
      <c r="B68" s="1">
        <v>0.1</v>
      </c>
    </row>
    <row r="69" ht="14.25">
      <c r="B69" s="1">
        <v>0.2</v>
      </c>
    </row>
    <row r="70" ht="14.25">
      <c r="B70" s="1">
        <v>0.3</v>
      </c>
    </row>
    <row r="71" ht="14.25">
      <c r="B71" s="1">
        <v>0.4</v>
      </c>
    </row>
    <row r="72" ht="14.25">
      <c r="B72" s="1">
        <v>0.5</v>
      </c>
    </row>
    <row r="73" ht="14.25">
      <c r="B73" s="1">
        <v>0.6</v>
      </c>
    </row>
    <row r="74" ht="14.25">
      <c r="B74" s="1">
        <v>0.7</v>
      </c>
    </row>
    <row r="75" ht="14.25">
      <c r="B75" s="1">
        <v>0.8</v>
      </c>
    </row>
    <row r="76" ht="14.25">
      <c r="B76" s="1">
        <v>0.9</v>
      </c>
    </row>
    <row r="77" ht="14.25">
      <c r="B77" s="1">
        <v>1</v>
      </c>
    </row>
    <row r="78" ht="14.25">
      <c r="B78" s="1">
        <v>1.1</v>
      </c>
    </row>
    <row r="79" ht="14.25">
      <c r="B79" s="1">
        <v>1.2</v>
      </c>
    </row>
    <row r="80" ht="14.25">
      <c r="B80" s="1">
        <v>1.3</v>
      </c>
    </row>
    <row r="81" ht="14.25">
      <c r="B81" s="1">
        <v>1.4</v>
      </c>
    </row>
    <row r="82" ht="14.25">
      <c r="B82" s="1">
        <v>1.5</v>
      </c>
    </row>
    <row r="83" ht="14.25">
      <c r="B83" s="1">
        <v>1.6</v>
      </c>
    </row>
    <row r="84" ht="14.25">
      <c r="B84" s="1">
        <v>1.7</v>
      </c>
    </row>
    <row r="85" ht="14.25">
      <c r="B85" s="1">
        <v>1.8</v>
      </c>
    </row>
    <row r="86" ht="14.25">
      <c r="B86" s="1">
        <v>1.9</v>
      </c>
    </row>
    <row r="87" ht="14.25">
      <c r="B87" s="1">
        <v>2</v>
      </c>
    </row>
    <row r="88" ht="14.25">
      <c r="B88" s="1">
        <v>2.2</v>
      </c>
    </row>
    <row r="89" ht="14.25">
      <c r="B89" s="1">
        <v>2.4</v>
      </c>
    </row>
    <row r="90" ht="14.25">
      <c r="B90" s="1">
        <v>2.6</v>
      </c>
    </row>
    <row r="91" ht="14.25">
      <c r="B91" s="1">
        <v>2.8</v>
      </c>
    </row>
    <row r="92" ht="14.25">
      <c r="B92" s="1">
        <v>3</v>
      </c>
    </row>
    <row r="93" ht="14.25">
      <c r="B93" s="1">
        <v>3.5</v>
      </c>
    </row>
    <row r="94" ht="14.25">
      <c r="B94" s="1">
        <v>4</v>
      </c>
    </row>
  </sheetData>
  <printOptions/>
  <pageMargins left="0.75" right="0.53" top="1" bottom="1" header="0.5" footer="0.5"/>
  <pageSetup horizontalDpi="600" verticalDpi="600" orientation="portrait" paperSize="9" r:id="rId5"/>
  <legacyDrawing r:id="rId4"/>
  <oleObjects>
    <oleObject progId="Equation.3" shapeId="681154" r:id="rId1"/>
    <oleObject progId="Equation.3" shapeId="1820259" r:id="rId2"/>
    <oleObject progId="Equation.3" shapeId="1842088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F22" sqref="F22"/>
    </sheetView>
  </sheetViews>
  <sheetFormatPr defaultColWidth="9.140625" defaultRowHeight="12.75"/>
  <cols>
    <col min="1" max="1" width="10.421875" style="41" customWidth="1"/>
    <col min="2" max="2" width="12.00390625" style="41" customWidth="1"/>
    <col min="3" max="3" width="13.57421875" style="41" customWidth="1"/>
    <col min="4" max="4" width="12.57421875" style="41" customWidth="1"/>
    <col min="5" max="5" width="12.28125" style="41" customWidth="1"/>
    <col min="6" max="7" width="12.57421875" style="41" customWidth="1"/>
    <col min="8" max="8" width="12.28125" style="41" customWidth="1"/>
    <col min="9" max="10" width="10.140625" style="41" customWidth="1"/>
    <col min="11" max="16384" width="9.140625" style="41" customWidth="1"/>
  </cols>
  <sheetData>
    <row r="1" ht="14.25">
      <c r="A1" s="176" t="s">
        <v>161</v>
      </c>
    </row>
    <row r="2" spans="1:8" ht="16.5">
      <c r="A2" s="237" t="s">
        <v>470</v>
      </c>
      <c r="B2" s="237"/>
      <c r="C2" s="237"/>
      <c r="D2" s="237"/>
      <c r="E2" s="237"/>
      <c r="F2" s="237"/>
      <c r="G2" s="237"/>
      <c r="H2" s="237"/>
    </row>
    <row r="3" spans="1:8" ht="16.5">
      <c r="A3" s="132" t="s">
        <v>461</v>
      </c>
      <c r="B3" s="255" t="s">
        <v>471</v>
      </c>
      <c r="C3" s="256"/>
      <c r="D3" s="256"/>
      <c r="E3" s="256"/>
      <c r="F3" s="256"/>
      <c r="G3" s="256"/>
      <c r="H3" s="256"/>
    </row>
    <row r="4" spans="1:8" ht="15.75">
      <c r="A4" s="133" t="s">
        <v>462</v>
      </c>
      <c r="B4" s="230" t="s">
        <v>463</v>
      </c>
      <c r="C4" s="231"/>
      <c r="D4" s="231"/>
      <c r="E4" s="231"/>
      <c r="F4" s="231"/>
      <c r="G4" s="231"/>
      <c r="H4" s="231"/>
    </row>
    <row r="5" spans="1:8" ht="14.25">
      <c r="A5" s="134"/>
      <c r="B5" s="86" t="s">
        <v>464</v>
      </c>
      <c r="C5" s="87" t="s">
        <v>465</v>
      </c>
      <c r="D5" s="87" t="s">
        <v>466</v>
      </c>
      <c r="E5" s="87" t="s">
        <v>467</v>
      </c>
      <c r="F5" s="87" t="s">
        <v>468</v>
      </c>
      <c r="G5" s="87" t="s">
        <v>469</v>
      </c>
      <c r="H5" s="87" t="s">
        <v>466</v>
      </c>
    </row>
    <row r="6" spans="1:8" ht="14.25">
      <c r="A6" s="134"/>
      <c r="B6" s="230" t="s">
        <v>472</v>
      </c>
      <c r="C6" s="231"/>
      <c r="D6" s="231"/>
      <c r="E6" s="231"/>
      <c r="F6" s="231"/>
      <c r="G6" s="231"/>
      <c r="H6" s="231"/>
    </row>
    <row r="7" spans="1:8" ht="14.25">
      <c r="A7" s="135"/>
      <c r="B7" s="86">
        <v>0</v>
      </c>
      <c r="C7" s="87">
        <v>0.1</v>
      </c>
      <c r="D7" s="87">
        <v>0.2</v>
      </c>
      <c r="E7" s="87">
        <v>0.3</v>
      </c>
      <c r="F7" s="87">
        <v>0.4</v>
      </c>
      <c r="G7" s="87">
        <v>0.5</v>
      </c>
      <c r="H7" s="87">
        <v>0.6</v>
      </c>
    </row>
    <row r="8" spans="1:8" ht="14.25">
      <c r="A8" s="174">
        <v>3</v>
      </c>
      <c r="B8" s="175">
        <v>750</v>
      </c>
      <c r="C8" s="175" t="s">
        <v>474</v>
      </c>
      <c r="D8" s="175">
        <v>300</v>
      </c>
      <c r="E8" s="175" t="s">
        <v>479</v>
      </c>
      <c r="F8" s="175" t="s">
        <v>486</v>
      </c>
      <c r="G8" s="175">
        <v>110</v>
      </c>
      <c r="H8" s="175">
        <v>60</v>
      </c>
    </row>
    <row r="9" spans="1:8" ht="14.25">
      <c r="A9" s="36">
        <v>4</v>
      </c>
      <c r="B9" s="175">
        <v>830</v>
      </c>
      <c r="C9" s="175" t="s">
        <v>473</v>
      </c>
      <c r="D9" s="175">
        <v>380</v>
      </c>
      <c r="E9" s="175" t="s">
        <v>480</v>
      </c>
      <c r="F9" s="175" t="s">
        <v>487</v>
      </c>
      <c r="G9" s="175">
        <v>125</v>
      </c>
      <c r="H9" s="175">
        <v>70</v>
      </c>
    </row>
    <row r="10" spans="1:8" ht="14.25">
      <c r="A10" s="36">
        <v>5</v>
      </c>
      <c r="B10" s="175">
        <v>880</v>
      </c>
      <c r="C10" s="175" t="s">
        <v>475</v>
      </c>
      <c r="D10" s="175">
        <v>400</v>
      </c>
      <c r="E10" s="175" t="s">
        <v>481</v>
      </c>
      <c r="F10" s="175" t="s">
        <v>488</v>
      </c>
      <c r="G10" s="175">
        <v>130</v>
      </c>
      <c r="H10" s="175">
        <v>80</v>
      </c>
    </row>
    <row r="11" spans="1:8" ht="14.25">
      <c r="A11" s="36">
        <v>7</v>
      </c>
      <c r="B11" s="175">
        <v>970</v>
      </c>
      <c r="C11" s="175" t="s">
        <v>476</v>
      </c>
      <c r="D11" s="175">
        <v>430</v>
      </c>
      <c r="E11" s="175" t="s">
        <v>482</v>
      </c>
      <c r="F11" s="175" t="s">
        <v>489</v>
      </c>
      <c r="G11" s="175">
        <v>140</v>
      </c>
      <c r="H11" s="175">
        <v>85</v>
      </c>
    </row>
    <row r="12" spans="1:8" ht="14.25">
      <c r="A12" s="36">
        <v>10</v>
      </c>
      <c r="B12" s="175">
        <v>1050</v>
      </c>
      <c r="C12" s="175" t="s">
        <v>477</v>
      </c>
      <c r="D12" s="175">
        <v>500</v>
      </c>
      <c r="E12" s="175" t="s">
        <v>483</v>
      </c>
      <c r="F12" s="175" t="s">
        <v>490</v>
      </c>
      <c r="G12" s="175">
        <v>150</v>
      </c>
      <c r="H12" s="175">
        <v>90</v>
      </c>
    </row>
    <row r="13" spans="1:8" ht="14.25">
      <c r="A13" s="36">
        <v>15</v>
      </c>
      <c r="B13" s="175">
        <v>1170</v>
      </c>
      <c r="C13" s="175" t="s">
        <v>478</v>
      </c>
      <c r="D13" s="175">
        <v>560</v>
      </c>
      <c r="E13" s="175" t="s">
        <v>484</v>
      </c>
      <c r="F13" s="175">
        <v>290</v>
      </c>
      <c r="G13" s="175">
        <v>165</v>
      </c>
      <c r="H13" s="175">
        <v>100</v>
      </c>
    </row>
    <row r="14" spans="1:8" ht="14.25">
      <c r="A14" s="36">
        <v>20</v>
      </c>
      <c r="B14" s="175">
        <v>1260</v>
      </c>
      <c r="C14" s="175">
        <v>850</v>
      </c>
      <c r="D14" s="175">
        <v>620</v>
      </c>
      <c r="E14" s="175" t="s">
        <v>485</v>
      </c>
      <c r="F14" s="175">
        <v>320</v>
      </c>
      <c r="G14" s="175">
        <v>180</v>
      </c>
      <c r="H14" s="175">
        <v>110</v>
      </c>
    </row>
    <row r="15" spans="1:8" ht="14.25">
      <c r="A15" s="36">
        <v>25</v>
      </c>
      <c r="B15" s="175">
        <v>1340</v>
      </c>
      <c r="C15" s="175">
        <v>900</v>
      </c>
      <c r="D15" s="175">
        <v>680</v>
      </c>
      <c r="E15" s="175">
        <v>520</v>
      </c>
      <c r="F15" s="175">
        <v>350</v>
      </c>
      <c r="G15" s="175">
        <v>195</v>
      </c>
      <c r="H15" s="175">
        <v>120</v>
      </c>
    </row>
    <row r="16" spans="1:8" ht="14.25">
      <c r="A16" s="36">
        <v>30</v>
      </c>
      <c r="B16" s="175">
        <v>1420</v>
      </c>
      <c r="C16" s="175">
        <v>950</v>
      </c>
      <c r="D16" s="175">
        <v>740</v>
      </c>
      <c r="E16" s="175">
        <v>650</v>
      </c>
      <c r="F16" s="175">
        <v>380</v>
      </c>
      <c r="G16" s="175">
        <v>210</v>
      </c>
      <c r="H16" s="175">
        <v>130</v>
      </c>
    </row>
    <row r="17" spans="1:8" ht="14.25">
      <c r="A17" s="36">
        <v>35</v>
      </c>
      <c r="B17" s="175">
        <v>1500</v>
      </c>
      <c r="C17" s="175">
        <v>1000</v>
      </c>
      <c r="D17" s="175">
        <v>800</v>
      </c>
      <c r="E17" s="175">
        <v>600</v>
      </c>
      <c r="F17" s="175">
        <v>410</v>
      </c>
      <c r="G17" s="175">
        <v>225</v>
      </c>
      <c r="H17" s="175">
        <v>140</v>
      </c>
    </row>
    <row r="19" spans="1:8" ht="16.5">
      <c r="A19" s="237" t="s">
        <v>491</v>
      </c>
      <c r="B19" s="237"/>
      <c r="C19" s="237"/>
      <c r="D19" s="237"/>
      <c r="E19" s="237"/>
      <c r="F19" s="237"/>
      <c r="G19" s="237"/>
      <c r="H19" s="237"/>
    </row>
    <row r="20" spans="1:10" ht="16.5">
      <c r="A20" s="136" t="s">
        <v>493</v>
      </c>
      <c r="B20" s="253" t="s">
        <v>492</v>
      </c>
      <c r="C20" s="254"/>
      <c r="D20" s="254"/>
      <c r="E20" s="254"/>
      <c r="F20" s="254"/>
      <c r="G20" s="254"/>
      <c r="H20" s="254"/>
      <c r="I20" s="254"/>
      <c r="J20" s="255"/>
    </row>
    <row r="21" spans="1:10" ht="15.75">
      <c r="A21" s="137" t="s">
        <v>494</v>
      </c>
      <c r="B21" s="232" t="s">
        <v>463</v>
      </c>
      <c r="C21" s="238"/>
      <c r="D21" s="238"/>
      <c r="E21" s="238"/>
      <c r="F21" s="238"/>
      <c r="G21" s="238"/>
      <c r="H21" s="238"/>
      <c r="I21" s="238"/>
      <c r="J21" s="230"/>
    </row>
    <row r="22" spans="1:10" ht="15.75">
      <c r="A22" s="137" t="s">
        <v>495</v>
      </c>
      <c r="B22" s="138" t="s">
        <v>102</v>
      </c>
      <c r="C22" s="138" t="s">
        <v>468</v>
      </c>
      <c r="D22" s="138" t="s">
        <v>469</v>
      </c>
      <c r="E22" s="138" t="s">
        <v>466</v>
      </c>
      <c r="F22" s="138" t="s">
        <v>466</v>
      </c>
      <c r="G22" s="138" t="s">
        <v>466</v>
      </c>
      <c r="H22" s="138" t="s">
        <v>466</v>
      </c>
      <c r="I22" s="138" t="s">
        <v>466</v>
      </c>
      <c r="J22" s="138" t="s">
        <v>466</v>
      </c>
    </row>
    <row r="23" spans="1:10" ht="15.75">
      <c r="A23" s="137" t="s">
        <v>187</v>
      </c>
      <c r="B23" s="232" t="s">
        <v>472</v>
      </c>
      <c r="C23" s="238"/>
      <c r="D23" s="238"/>
      <c r="E23" s="238"/>
      <c r="F23" s="238"/>
      <c r="G23" s="238"/>
      <c r="H23" s="238"/>
      <c r="I23" s="238"/>
      <c r="J23" s="230"/>
    </row>
    <row r="24" spans="1:10" ht="14.25">
      <c r="A24" s="135"/>
      <c r="B24" s="139">
        <v>0.2</v>
      </c>
      <c r="C24" s="88">
        <v>0.3</v>
      </c>
      <c r="D24" s="88">
        <v>0.4</v>
      </c>
      <c r="E24" s="88">
        <v>0.5</v>
      </c>
      <c r="F24" s="88">
        <v>0.6</v>
      </c>
      <c r="G24" s="88">
        <v>0.7</v>
      </c>
      <c r="H24" s="88">
        <v>0.8</v>
      </c>
      <c r="I24" s="88">
        <v>0.9</v>
      </c>
      <c r="J24" s="88">
        <v>1</v>
      </c>
    </row>
    <row r="25" spans="1:10" ht="14.25">
      <c r="A25" s="174">
        <v>1</v>
      </c>
      <c r="B25" s="175">
        <v>3.5</v>
      </c>
      <c r="C25" s="175">
        <v>2.3</v>
      </c>
      <c r="D25" s="175">
        <v>1.5</v>
      </c>
      <c r="E25" s="175">
        <v>1.2</v>
      </c>
      <c r="F25" s="175">
        <v>0.5</v>
      </c>
      <c r="G25" s="175">
        <v>0.4</v>
      </c>
      <c r="H25" s="175">
        <v>0.4</v>
      </c>
      <c r="I25" s="175">
        <v>0.3</v>
      </c>
      <c r="J25" s="175">
        <v>0.2</v>
      </c>
    </row>
    <row r="26" spans="1:10" ht="14.25">
      <c r="A26" s="36">
        <v>2</v>
      </c>
      <c r="B26" s="175">
        <v>4.2</v>
      </c>
      <c r="C26" s="175">
        <v>3</v>
      </c>
      <c r="D26" s="175">
        <v>2.1</v>
      </c>
      <c r="E26" s="175">
        <v>1.7</v>
      </c>
      <c r="F26" s="175">
        <v>1.2</v>
      </c>
      <c r="G26" s="175">
        <v>0.7</v>
      </c>
      <c r="H26" s="175">
        <v>0.5</v>
      </c>
      <c r="I26" s="175">
        <v>0.4</v>
      </c>
      <c r="J26" s="175">
        <v>0.4</v>
      </c>
    </row>
    <row r="27" spans="1:10" ht="14.25">
      <c r="A27" s="36">
        <v>3</v>
      </c>
      <c r="B27" s="175">
        <v>4.8</v>
      </c>
      <c r="C27" s="175">
        <v>3.5</v>
      </c>
      <c r="D27" s="175">
        <v>2.5</v>
      </c>
      <c r="E27" s="175">
        <v>2</v>
      </c>
      <c r="F27" s="175">
        <v>1.1</v>
      </c>
      <c r="G27" s="175">
        <v>0.8</v>
      </c>
      <c r="H27" s="175">
        <v>0.7</v>
      </c>
      <c r="I27" s="175">
        <v>0.6</v>
      </c>
      <c r="J27" s="175">
        <v>0.5</v>
      </c>
    </row>
    <row r="28" spans="1:10" ht="14.25">
      <c r="A28" s="36">
        <v>4</v>
      </c>
      <c r="B28" s="175">
        <v>5.3</v>
      </c>
      <c r="C28" s="175">
        <v>3.8</v>
      </c>
      <c r="D28" s="175">
        <v>2.7</v>
      </c>
      <c r="E28" s="175">
        <v>2.2</v>
      </c>
      <c r="F28" s="175">
        <v>1.6</v>
      </c>
      <c r="G28" s="175">
        <v>0.9</v>
      </c>
      <c r="H28" s="175">
        <v>0.8</v>
      </c>
      <c r="I28" s="175">
        <v>0.7</v>
      </c>
      <c r="J28" s="175">
        <v>0.5</v>
      </c>
    </row>
    <row r="29" spans="1:10" ht="14.25">
      <c r="A29" s="36">
        <v>5</v>
      </c>
      <c r="B29" s="175">
        <v>5.6</v>
      </c>
      <c r="C29" s="175">
        <v>4</v>
      </c>
      <c r="D29" s="175">
        <v>2.9</v>
      </c>
      <c r="E29" s="175">
        <v>2.4</v>
      </c>
      <c r="F29" s="175">
        <v>1.7</v>
      </c>
      <c r="G29" s="175">
        <v>1</v>
      </c>
      <c r="H29" s="175">
        <v>0.8</v>
      </c>
      <c r="I29" s="175">
        <v>0.7</v>
      </c>
      <c r="J29" s="175">
        <v>0.6</v>
      </c>
    </row>
    <row r="30" spans="1:10" ht="14.25">
      <c r="A30" s="36">
        <v>6</v>
      </c>
      <c r="B30" s="175">
        <v>5.8</v>
      </c>
      <c r="C30" s="175">
        <v>4.2</v>
      </c>
      <c r="D30" s="175">
        <v>3.1</v>
      </c>
      <c r="E30" s="175">
        <v>2.5</v>
      </c>
      <c r="F30" s="175">
        <v>1.8</v>
      </c>
      <c r="G30" s="175">
        <v>1</v>
      </c>
      <c r="H30" s="175">
        <v>0.8</v>
      </c>
      <c r="I30" s="175">
        <v>0.7</v>
      </c>
      <c r="J30" s="175">
        <v>0.6</v>
      </c>
    </row>
    <row r="31" spans="1:10" ht="14.25">
      <c r="A31" s="36">
        <v>8</v>
      </c>
      <c r="B31" s="175">
        <v>6.2</v>
      </c>
      <c r="C31" s="175">
        <v>4.4</v>
      </c>
      <c r="D31" s="175">
        <v>3.3</v>
      </c>
      <c r="E31" s="175">
        <v>2.6</v>
      </c>
      <c r="F31" s="175">
        <v>1.9</v>
      </c>
      <c r="G31" s="175">
        <v>1</v>
      </c>
      <c r="H31" s="175">
        <v>0.8</v>
      </c>
      <c r="I31" s="175">
        <v>0.7</v>
      </c>
      <c r="J31" s="175">
        <v>0.6</v>
      </c>
    </row>
    <row r="32" spans="1:10" ht="14.25">
      <c r="A32" s="36">
        <v>10</v>
      </c>
      <c r="B32" s="175">
        <v>6.5</v>
      </c>
      <c r="C32" s="175">
        <v>4.6</v>
      </c>
      <c r="D32" s="175">
        <v>3.4</v>
      </c>
      <c r="E32" s="175">
        <v>2.7</v>
      </c>
      <c r="F32" s="175">
        <v>1.9</v>
      </c>
      <c r="G32" s="175">
        <v>1</v>
      </c>
      <c r="H32" s="175">
        <v>0.8</v>
      </c>
      <c r="I32" s="175">
        <v>0.7</v>
      </c>
      <c r="J32" s="175">
        <v>0.6</v>
      </c>
    </row>
    <row r="33" spans="1:10" ht="14.25">
      <c r="A33" s="36">
        <v>15</v>
      </c>
      <c r="B33" s="175">
        <v>7.2</v>
      </c>
      <c r="C33" s="175">
        <v>5.1</v>
      </c>
      <c r="D33" s="175">
        <v>3.8</v>
      </c>
      <c r="E33" s="175">
        <v>2.8</v>
      </c>
      <c r="F33" s="175">
        <v>2</v>
      </c>
      <c r="G33" s="175">
        <v>1.1</v>
      </c>
      <c r="H33" s="175">
        <v>0.8</v>
      </c>
      <c r="I33" s="175">
        <v>0.7</v>
      </c>
      <c r="J33" s="175">
        <v>0.6</v>
      </c>
    </row>
    <row r="34" spans="1:10" ht="14.25">
      <c r="A34" s="36">
        <v>20</v>
      </c>
      <c r="B34" s="175">
        <v>7.9</v>
      </c>
      <c r="C34" s="175">
        <v>5.6</v>
      </c>
      <c r="D34" s="175">
        <v>4.1</v>
      </c>
      <c r="E34" s="175">
        <v>3</v>
      </c>
      <c r="F34" s="175">
        <v>2</v>
      </c>
      <c r="G34" s="175">
        <v>1.2</v>
      </c>
      <c r="H34" s="175">
        <v>0.8</v>
      </c>
      <c r="I34" s="175">
        <v>0.7</v>
      </c>
      <c r="J34" s="175">
        <v>0.6</v>
      </c>
    </row>
    <row r="35" spans="1:10" ht="14.25">
      <c r="A35" s="36">
        <v>25</v>
      </c>
      <c r="B35" s="175">
        <v>8.6</v>
      </c>
      <c r="C35" s="175">
        <v>6.1</v>
      </c>
      <c r="D35" s="175">
        <v>4.4</v>
      </c>
      <c r="E35" s="175">
        <v>3.2</v>
      </c>
      <c r="F35" s="175">
        <v>2</v>
      </c>
      <c r="G35" s="175">
        <v>1.2</v>
      </c>
      <c r="H35" s="175">
        <v>0.8</v>
      </c>
      <c r="I35" s="175">
        <v>0.7</v>
      </c>
      <c r="J35" s="175">
        <v>0.6</v>
      </c>
    </row>
    <row r="36" spans="1:10" ht="14.25">
      <c r="A36" s="36">
        <v>30</v>
      </c>
      <c r="B36" s="175">
        <v>9.3</v>
      </c>
      <c r="C36" s="175">
        <v>6.6</v>
      </c>
      <c r="D36" s="175">
        <v>4.7</v>
      </c>
      <c r="E36" s="175">
        <v>3.4</v>
      </c>
      <c r="F36" s="175">
        <v>2.1</v>
      </c>
      <c r="G36" s="175">
        <v>1.2</v>
      </c>
      <c r="H36" s="175">
        <v>0.9</v>
      </c>
      <c r="I36" s="175">
        <v>0.8</v>
      </c>
      <c r="J36" s="175">
        <v>0.7</v>
      </c>
    </row>
    <row r="37" spans="1:10" ht="14.25">
      <c r="A37" s="36">
        <v>35</v>
      </c>
      <c r="B37" s="175">
        <v>10</v>
      </c>
      <c r="C37" s="175">
        <v>7</v>
      </c>
      <c r="D37" s="175">
        <v>5</v>
      </c>
      <c r="E37" s="175">
        <v>3.6</v>
      </c>
      <c r="F37" s="175">
        <v>2.2</v>
      </c>
      <c r="G37" s="175">
        <v>1.3</v>
      </c>
      <c r="H37" s="175">
        <v>0.9</v>
      </c>
      <c r="I37" s="175">
        <v>0.8</v>
      </c>
      <c r="J37" s="175">
        <v>0.7</v>
      </c>
    </row>
    <row r="39" spans="1:8" ht="15.75">
      <c r="A39" s="237" t="s">
        <v>175</v>
      </c>
      <c r="B39" s="237"/>
      <c r="C39" s="237"/>
      <c r="D39" s="237"/>
      <c r="E39" s="237"/>
      <c r="F39" s="237"/>
      <c r="G39" s="237"/>
      <c r="H39" s="237"/>
    </row>
    <row r="40" spans="1:10" ht="14.25">
      <c r="A40" s="222" t="s">
        <v>176</v>
      </c>
      <c r="B40" s="222"/>
      <c r="C40" s="222"/>
      <c r="D40" s="222"/>
      <c r="E40" s="222"/>
      <c r="F40" s="240"/>
      <c r="G40" s="247" t="s">
        <v>179</v>
      </c>
      <c r="H40" s="248"/>
      <c r="I40" s="248"/>
      <c r="J40" s="249"/>
    </row>
    <row r="41" spans="1:10" ht="14.25">
      <c r="A41" s="223"/>
      <c r="B41" s="223"/>
      <c r="C41" s="223"/>
      <c r="D41" s="223"/>
      <c r="E41" s="223"/>
      <c r="F41" s="224"/>
      <c r="G41" s="250" t="s">
        <v>178</v>
      </c>
      <c r="H41" s="251"/>
      <c r="I41" s="251"/>
      <c r="J41" s="221"/>
    </row>
    <row r="42" spans="1:10" ht="14.25">
      <c r="A42" s="252"/>
      <c r="B42" s="252"/>
      <c r="C42" s="252"/>
      <c r="D42" s="252"/>
      <c r="E42" s="252"/>
      <c r="F42" s="242"/>
      <c r="G42" s="232" t="s">
        <v>184</v>
      </c>
      <c r="H42" s="230"/>
      <c r="I42" s="238" t="s">
        <v>185</v>
      </c>
      <c r="J42" s="230"/>
    </row>
    <row r="43" spans="1:10" ht="14.25">
      <c r="A43" s="243" t="s">
        <v>177</v>
      </c>
      <c r="B43" s="244"/>
      <c r="C43" s="244"/>
      <c r="D43" s="244"/>
      <c r="E43" s="244"/>
      <c r="F43" s="245"/>
      <c r="G43" s="246">
        <v>1</v>
      </c>
      <c r="H43" s="246"/>
      <c r="I43" s="246">
        <v>1</v>
      </c>
      <c r="J43" s="246"/>
    </row>
    <row r="44" spans="1:10" ht="14.25">
      <c r="A44" s="243" t="s">
        <v>68</v>
      </c>
      <c r="B44" s="244"/>
      <c r="C44" s="244"/>
      <c r="D44" s="244"/>
      <c r="E44" s="244"/>
      <c r="F44" s="245"/>
      <c r="G44" s="246"/>
      <c r="H44" s="246"/>
      <c r="I44" s="246"/>
      <c r="J44" s="246"/>
    </row>
    <row r="45" spans="1:10" ht="14.25">
      <c r="A45" s="243" t="s">
        <v>180</v>
      </c>
      <c r="B45" s="244"/>
      <c r="C45" s="244"/>
      <c r="D45" s="244"/>
      <c r="E45" s="244"/>
      <c r="F45" s="245"/>
      <c r="G45" s="246"/>
      <c r="H45" s="246"/>
      <c r="I45" s="246"/>
      <c r="J45" s="246"/>
    </row>
    <row r="46" spans="1:10" ht="14.25">
      <c r="A46" s="243" t="s">
        <v>181</v>
      </c>
      <c r="B46" s="244"/>
      <c r="C46" s="244"/>
      <c r="D46" s="244"/>
      <c r="E46" s="244"/>
      <c r="F46" s="245"/>
      <c r="G46" s="246">
        <v>1</v>
      </c>
      <c r="H46" s="246"/>
      <c r="I46" s="246">
        <v>0.5</v>
      </c>
      <c r="J46" s="246"/>
    </row>
    <row r="47" spans="1:10" ht="14.25">
      <c r="A47" s="243" t="s">
        <v>182</v>
      </c>
      <c r="B47" s="244"/>
      <c r="C47" s="244"/>
      <c r="D47" s="244"/>
      <c r="E47" s="244"/>
      <c r="F47" s="245"/>
      <c r="G47" s="246">
        <v>1</v>
      </c>
      <c r="H47" s="246"/>
      <c r="I47" s="246">
        <v>0.6</v>
      </c>
      <c r="J47" s="246"/>
    </row>
    <row r="48" spans="1:10" ht="14.25">
      <c r="A48" s="243" t="s">
        <v>183</v>
      </c>
      <c r="B48" s="244"/>
      <c r="C48" s="244"/>
      <c r="D48" s="244"/>
      <c r="E48" s="244"/>
      <c r="F48" s="245"/>
      <c r="G48" s="246">
        <v>1</v>
      </c>
      <c r="H48" s="246"/>
      <c r="I48" s="246">
        <v>1</v>
      </c>
      <c r="J48" s="246"/>
    </row>
    <row r="49" spans="1:10" ht="14.25">
      <c r="A49" s="243" t="s">
        <v>71</v>
      </c>
      <c r="B49" s="244"/>
      <c r="C49" s="244"/>
      <c r="D49" s="244"/>
      <c r="E49" s="244"/>
      <c r="F49" s="245"/>
      <c r="G49" s="246">
        <v>1</v>
      </c>
      <c r="H49" s="246"/>
      <c r="I49" s="246">
        <v>0.9</v>
      </c>
      <c r="J49" s="246"/>
    </row>
    <row r="50" spans="1:10" ht="14.25">
      <c r="A50" s="243" t="s">
        <v>69</v>
      </c>
      <c r="B50" s="244"/>
      <c r="C50" s="244"/>
      <c r="D50" s="244"/>
      <c r="E50" s="244"/>
      <c r="F50" s="245"/>
      <c r="G50" s="246"/>
      <c r="H50" s="246"/>
      <c r="I50" s="246"/>
      <c r="J50" s="246"/>
    </row>
    <row r="51" spans="1:10" ht="14.25">
      <c r="A51" s="243" t="s">
        <v>72</v>
      </c>
      <c r="B51" s="244"/>
      <c r="C51" s="244"/>
      <c r="D51" s="244"/>
      <c r="E51" s="244"/>
      <c r="F51" s="245"/>
      <c r="G51" s="246"/>
      <c r="H51" s="246"/>
      <c r="I51" s="246"/>
      <c r="J51" s="246"/>
    </row>
    <row r="52" spans="1:10" ht="14.25">
      <c r="A52" s="243" t="s">
        <v>73</v>
      </c>
      <c r="B52" s="244"/>
      <c r="C52" s="244"/>
      <c r="D52" s="244"/>
      <c r="E52" s="244"/>
      <c r="F52" s="245"/>
      <c r="G52" s="246"/>
      <c r="H52" s="246"/>
      <c r="I52" s="246"/>
      <c r="J52" s="246"/>
    </row>
    <row r="53" spans="1:10" ht="14.25">
      <c r="A53" s="243" t="s">
        <v>74</v>
      </c>
      <c r="B53" s="244"/>
      <c r="C53" s="244"/>
      <c r="D53" s="244"/>
      <c r="E53" s="244"/>
      <c r="F53" s="245"/>
      <c r="G53" s="246">
        <v>1.2</v>
      </c>
      <c r="H53" s="246"/>
      <c r="I53" s="246">
        <v>1</v>
      </c>
      <c r="J53" s="246"/>
    </row>
    <row r="54" spans="1:10" ht="14.25">
      <c r="A54" s="243" t="s">
        <v>75</v>
      </c>
      <c r="B54" s="244"/>
      <c r="C54" s="244"/>
      <c r="D54" s="244"/>
      <c r="E54" s="244"/>
      <c r="F54" s="245"/>
      <c r="G54" s="246">
        <v>1.1</v>
      </c>
      <c r="H54" s="246"/>
      <c r="I54" s="246">
        <v>1</v>
      </c>
      <c r="J54" s="246"/>
    </row>
    <row r="55" spans="1:10" ht="14.25">
      <c r="A55" s="243" t="s">
        <v>80</v>
      </c>
      <c r="B55" s="244"/>
      <c r="C55" s="244"/>
      <c r="D55" s="244"/>
      <c r="E55" s="244"/>
      <c r="F55" s="245"/>
      <c r="G55" s="246">
        <v>1</v>
      </c>
      <c r="H55" s="246"/>
      <c r="I55" s="246">
        <v>1</v>
      </c>
      <c r="J55" s="246"/>
    </row>
    <row r="56" spans="1:10" ht="14.25">
      <c r="A56" s="243" t="s">
        <v>81</v>
      </c>
      <c r="B56" s="244"/>
      <c r="C56" s="244"/>
      <c r="D56" s="244"/>
      <c r="E56" s="244"/>
      <c r="F56" s="245"/>
      <c r="G56" s="246"/>
      <c r="H56" s="246"/>
      <c r="I56" s="246"/>
      <c r="J56" s="246"/>
    </row>
    <row r="57" spans="1:10" ht="14.25">
      <c r="A57" s="243" t="s">
        <v>82</v>
      </c>
      <c r="B57" s="244"/>
      <c r="C57" s="244"/>
      <c r="D57" s="244"/>
      <c r="E57" s="244"/>
      <c r="F57" s="245"/>
      <c r="G57" s="246">
        <v>0.9</v>
      </c>
      <c r="H57" s="246"/>
      <c r="I57" s="246">
        <v>0.9</v>
      </c>
      <c r="J57" s="246"/>
    </row>
    <row r="58" spans="1:10" ht="14.25">
      <c r="A58" s="243" t="s">
        <v>83</v>
      </c>
      <c r="B58" s="244"/>
      <c r="C58" s="244"/>
      <c r="D58" s="244"/>
      <c r="E58" s="244"/>
      <c r="F58" s="245"/>
      <c r="G58" s="246">
        <v>0.8</v>
      </c>
      <c r="H58" s="246"/>
      <c r="I58" s="246">
        <v>0.9</v>
      </c>
      <c r="J58" s="246"/>
    </row>
    <row r="59" spans="1:10" ht="14.25">
      <c r="A59" s="243" t="s">
        <v>84</v>
      </c>
      <c r="B59" s="244"/>
      <c r="C59" s="244"/>
      <c r="D59" s="244"/>
      <c r="E59" s="244"/>
      <c r="F59" s="245"/>
      <c r="G59" s="246">
        <v>0.7</v>
      </c>
      <c r="H59" s="246"/>
      <c r="I59" s="246">
        <v>0.9</v>
      </c>
      <c r="J59" s="246"/>
    </row>
    <row r="60" spans="1:10" ht="14.25">
      <c r="A60" s="243" t="s">
        <v>85</v>
      </c>
      <c r="B60" s="244"/>
      <c r="C60" s="244"/>
      <c r="D60" s="244"/>
      <c r="E60" s="244"/>
      <c r="F60" s="245"/>
      <c r="G60" s="246">
        <v>1</v>
      </c>
      <c r="H60" s="246"/>
      <c r="I60" s="246">
        <v>1</v>
      </c>
      <c r="J60" s="246"/>
    </row>
    <row r="61" spans="1:10" ht="14.25">
      <c r="A61" s="243" t="s">
        <v>105</v>
      </c>
      <c r="B61" s="244"/>
      <c r="C61" s="244"/>
      <c r="D61" s="244"/>
      <c r="E61" s="244"/>
      <c r="F61" s="245"/>
      <c r="G61" s="246"/>
      <c r="H61" s="246"/>
      <c r="I61" s="246"/>
      <c r="J61" s="246"/>
    </row>
    <row r="62" spans="1:10" ht="14.25">
      <c r="A62" s="243" t="s">
        <v>86</v>
      </c>
      <c r="B62" s="244"/>
      <c r="C62" s="244"/>
      <c r="D62" s="244"/>
      <c r="E62" s="244"/>
      <c r="F62" s="245"/>
      <c r="G62" s="246">
        <v>1</v>
      </c>
      <c r="H62" s="246"/>
      <c r="I62" s="246">
        <v>1</v>
      </c>
      <c r="J62" s="246"/>
    </row>
    <row r="63" spans="1:10" ht="14.25">
      <c r="A63" s="243" t="s">
        <v>87</v>
      </c>
      <c r="B63" s="244"/>
      <c r="C63" s="244"/>
      <c r="D63" s="244"/>
      <c r="E63" s="244"/>
      <c r="F63" s="245"/>
      <c r="G63" s="246">
        <v>0.7</v>
      </c>
      <c r="H63" s="246"/>
      <c r="I63" s="246">
        <v>1</v>
      </c>
      <c r="J63" s="246"/>
    </row>
    <row r="64" spans="1:10" ht="14.25">
      <c r="A64" s="243" t="s">
        <v>106</v>
      </c>
      <c r="B64" s="244"/>
      <c r="C64" s="244"/>
      <c r="D64" s="244"/>
      <c r="E64" s="244"/>
      <c r="F64" s="245"/>
      <c r="G64" s="246"/>
      <c r="H64" s="246"/>
      <c r="I64" s="246"/>
      <c r="J64" s="246"/>
    </row>
    <row r="65" spans="1:10" ht="14.25">
      <c r="A65" s="243" t="s">
        <v>107</v>
      </c>
      <c r="B65" s="244"/>
      <c r="C65" s="244"/>
      <c r="D65" s="244"/>
      <c r="E65" s="244"/>
      <c r="F65" s="245"/>
      <c r="G65" s="246"/>
      <c r="H65" s="246"/>
      <c r="I65" s="246"/>
      <c r="J65" s="246"/>
    </row>
    <row r="66" spans="1:10" ht="14.25">
      <c r="A66" s="243" t="s">
        <v>108</v>
      </c>
      <c r="B66" s="244"/>
      <c r="C66" s="244"/>
      <c r="D66" s="244"/>
      <c r="E66" s="244"/>
      <c r="F66" s="245"/>
      <c r="G66" s="246"/>
      <c r="H66" s="246"/>
      <c r="I66" s="246"/>
      <c r="J66" s="246"/>
    </row>
    <row r="67" spans="1:10" ht="14.25">
      <c r="A67" s="243" t="s">
        <v>109</v>
      </c>
      <c r="B67" s="244"/>
      <c r="C67" s="244"/>
      <c r="D67" s="244"/>
      <c r="E67" s="244"/>
      <c r="F67" s="245"/>
      <c r="G67" s="246">
        <v>0.9</v>
      </c>
      <c r="H67" s="246"/>
      <c r="I67" s="246">
        <v>1</v>
      </c>
      <c r="J67" s="246"/>
    </row>
    <row r="68" spans="1:10" ht="14.25">
      <c r="A68" s="243" t="s">
        <v>110</v>
      </c>
      <c r="B68" s="244"/>
      <c r="C68" s="244"/>
      <c r="D68" s="244"/>
      <c r="E68" s="244"/>
      <c r="F68" s="245"/>
      <c r="G68" s="246">
        <v>0.8</v>
      </c>
      <c r="H68" s="246"/>
      <c r="I68" s="246">
        <v>1</v>
      </c>
      <c r="J68" s="246"/>
    </row>
    <row r="69" spans="1:10" ht="14.25">
      <c r="A69" s="243" t="s">
        <v>111</v>
      </c>
      <c r="B69" s="244"/>
      <c r="C69" s="244"/>
      <c r="D69" s="244"/>
      <c r="E69" s="244"/>
      <c r="F69" s="245"/>
      <c r="G69" s="246">
        <v>0.7</v>
      </c>
      <c r="H69" s="246"/>
      <c r="I69" s="246">
        <v>1</v>
      </c>
      <c r="J69" s="246"/>
    </row>
    <row r="71" spans="1:2" ht="14.25">
      <c r="A71" s="150" t="s">
        <v>112</v>
      </c>
      <c r="B71" s="50" t="s">
        <v>118</v>
      </c>
    </row>
    <row r="73" spans="1:8" ht="15.75">
      <c r="A73" s="237" t="s">
        <v>119</v>
      </c>
      <c r="B73" s="237"/>
      <c r="C73" s="237"/>
      <c r="D73" s="237"/>
      <c r="E73" s="237"/>
      <c r="F73" s="237"/>
      <c r="G73" s="237"/>
      <c r="H73" s="237"/>
    </row>
    <row r="75" spans="1:10" ht="14.25">
      <c r="A75" s="239" t="s">
        <v>157</v>
      </c>
      <c r="B75" s="222"/>
      <c r="C75" s="222"/>
      <c r="D75" s="222"/>
      <c r="E75" s="222"/>
      <c r="F75" s="240"/>
      <c r="G75" s="232" t="s">
        <v>152</v>
      </c>
      <c r="H75" s="238"/>
      <c r="I75" s="238"/>
      <c r="J75" s="230"/>
    </row>
    <row r="76" spans="1:10" ht="14.25">
      <c r="A76" s="241"/>
      <c r="B76" s="252"/>
      <c r="C76" s="252"/>
      <c r="D76" s="252"/>
      <c r="E76" s="252"/>
      <c r="F76" s="242"/>
      <c r="G76" s="87" t="s">
        <v>153</v>
      </c>
      <c r="H76" s="87" t="s">
        <v>154</v>
      </c>
      <c r="I76" s="87" t="s">
        <v>155</v>
      </c>
      <c r="J76" s="87" t="s">
        <v>156</v>
      </c>
    </row>
    <row r="77" spans="1:10" ht="14.25">
      <c r="A77" s="243" t="s">
        <v>158</v>
      </c>
      <c r="B77" s="244"/>
      <c r="C77" s="244"/>
      <c r="D77" s="244"/>
      <c r="E77" s="244"/>
      <c r="F77" s="245"/>
      <c r="G77" s="175">
        <v>0.8</v>
      </c>
      <c r="H77" s="175">
        <v>0.8</v>
      </c>
      <c r="I77" s="175">
        <v>0.8</v>
      </c>
      <c r="J77" s="175">
        <v>0.7</v>
      </c>
    </row>
    <row r="78" spans="1:10" ht="14.25">
      <c r="A78" s="243" t="s">
        <v>159</v>
      </c>
      <c r="B78" s="244"/>
      <c r="C78" s="244"/>
      <c r="D78" s="244"/>
      <c r="E78" s="244"/>
      <c r="F78" s="245"/>
      <c r="G78" s="175">
        <v>0.9</v>
      </c>
      <c r="H78" s="175">
        <v>0.9</v>
      </c>
      <c r="I78" s="175">
        <v>0.9</v>
      </c>
      <c r="J78" s="175">
        <v>0.9</v>
      </c>
    </row>
    <row r="79" spans="1:10" ht="14.25">
      <c r="A79" s="243" t="s">
        <v>160</v>
      </c>
      <c r="B79" s="244"/>
      <c r="C79" s="244"/>
      <c r="D79" s="244"/>
      <c r="E79" s="244"/>
      <c r="F79" s="245"/>
      <c r="G79" s="175"/>
      <c r="H79" s="175"/>
      <c r="I79" s="175"/>
      <c r="J79" s="175"/>
    </row>
    <row r="80" spans="1:10" ht="14.25">
      <c r="A80" s="243" t="s">
        <v>162</v>
      </c>
      <c r="B80" s="244"/>
      <c r="C80" s="244"/>
      <c r="D80" s="244"/>
      <c r="E80" s="244"/>
      <c r="F80" s="245"/>
      <c r="G80" s="175">
        <v>0.7</v>
      </c>
      <c r="H80" s="175">
        <v>0.7</v>
      </c>
      <c r="I80" s="175">
        <v>0.7</v>
      </c>
      <c r="J80" s="175">
        <v>0.6</v>
      </c>
    </row>
    <row r="81" spans="1:10" ht="14.25">
      <c r="A81" s="243" t="s">
        <v>163</v>
      </c>
      <c r="B81" s="244"/>
      <c r="C81" s="244"/>
      <c r="D81" s="244"/>
      <c r="E81" s="244"/>
      <c r="F81" s="245"/>
      <c r="G81" s="175">
        <v>0.6</v>
      </c>
      <c r="H81" s="175">
        <v>0.6</v>
      </c>
      <c r="I81" s="175">
        <v>0.6</v>
      </c>
      <c r="J81" s="175">
        <v>0.6</v>
      </c>
    </row>
    <row r="82" spans="1:10" ht="14.25">
      <c r="A82" s="243" t="s">
        <v>164</v>
      </c>
      <c r="B82" s="244"/>
      <c r="C82" s="244"/>
      <c r="D82" s="244"/>
      <c r="E82" s="244"/>
      <c r="F82" s="245"/>
      <c r="G82" s="175">
        <v>0.8</v>
      </c>
      <c r="H82" s="175">
        <v>0.8</v>
      </c>
      <c r="I82" s="175">
        <v>0.8</v>
      </c>
      <c r="J82" s="175">
        <v>0.7</v>
      </c>
    </row>
    <row r="83" spans="1:10" ht="14.25">
      <c r="A83" s="243" t="s">
        <v>165</v>
      </c>
      <c r="B83" s="244"/>
      <c r="C83" s="244"/>
      <c r="D83" s="244"/>
      <c r="E83" s="244"/>
      <c r="F83" s="245"/>
      <c r="G83" s="175">
        <v>1</v>
      </c>
      <c r="H83" s="175">
        <v>0.9</v>
      </c>
      <c r="I83" s="175">
        <v>0.7</v>
      </c>
      <c r="J83" s="175">
        <v>0.6</v>
      </c>
    </row>
    <row r="84" spans="1:10" ht="14.25">
      <c r="A84" s="243" t="s">
        <v>166</v>
      </c>
      <c r="B84" s="244"/>
      <c r="C84" s="244"/>
      <c r="D84" s="244"/>
      <c r="E84" s="244"/>
      <c r="F84" s="245"/>
      <c r="G84" s="175">
        <v>0.7</v>
      </c>
      <c r="H84" s="175">
        <v>0.7</v>
      </c>
      <c r="I84" s="175">
        <v>0.7</v>
      </c>
      <c r="J84" s="175">
        <v>0.6</v>
      </c>
    </row>
    <row r="85" spans="1:10" ht="14.25">
      <c r="A85" s="243" t="s">
        <v>168</v>
      </c>
      <c r="B85" s="244"/>
      <c r="C85" s="244"/>
      <c r="D85" s="244"/>
      <c r="E85" s="244"/>
      <c r="F85" s="245"/>
      <c r="G85" s="175"/>
      <c r="H85" s="175"/>
      <c r="I85" s="175"/>
      <c r="J85" s="175"/>
    </row>
    <row r="86" spans="1:10" ht="14.25">
      <c r="A86" s="243" t="s">
        <v>167</v>
      </c>
      <c r="B86" s="244"/>
      <c r="C86" s="244"/>
      <c r="D86" s="244"/>
      <c r="E86" s="244"/>
      <c r="F86" s="245"/>
      <c r="G86" s="175">
        <v>0.8</v>
      </c>
      <c r="H86" s="175">
        <v>0.8</v>
      </c>
      <c r="I86" s="175">
        <v>0.8</v>
      </c>
      <c r="J86" s="175">
        <v>0.7</v>
      </c>
    </row>
    <row r="87" spans="1:10" ht="14.25">
      <c r="A87" s="243" t="s">
        <v>169</v>
      </c>
      <c r="B87" s="244"/>
      <c r="C87" s="244"/>
      <c r="D87" s="244"/>
      <c r="E87" s="244"/>
      <c r="F87" s="245"/>
      <c r="G87" s="175">
        <v>0.9</v>
      </c>
      <c r="H87" s="175">
        <v>0.8</v>
      </c>
      <c r="I87" s="175">
        <v>0.8</v>
      </c>
      <c r="J87" s="175">
        <v>0.8</v>
      </c>
    </row>
    <row r="89" spans="1:8" ht="15.75">
      <c r="A89" s="237" t="s">
        <v>120</v>
      </c>
      <c r="B89" s="237"/>
      <c r="C89" s="237"/>
      <c r="D89" s="237"/>
      <c r="E89" s="237"/>
      <c r="F89" s="237"/>
      <c r="G89" s="237"/>
      <c r="H89" s="237"/>
    </row>
    <row r="91" spans="1:11" ht="15.75">
      <c r="A91" s="239" t="s">
        <v>121</v>
      </c>
      <c r="B91" s="240"/>
      <c r="C91" s="232" t="s">
        <v>122</v>
      </c>
      <c r="D91" s="238"/>
      <c r="E91" s="238"/>
      <c r="F91" s="238"/>
      <c r="G91" s="238"/>
      <c r="H91" s="238"/>
      <c r="I91" s="238"/>
      <c r="J91" s="238"/>
      <c r="K91" s="230"/>
    </row>
    <row r="92" spans="1:11" ht="15.75">
      <c r="A92" s="241"/>
      <c r="B92" s="242"/>
      <c r="C92" s="99">
        <v>23</v>
      </c>
      <c r="D92" s="99">
        <v>25</v>
      </c>
      <c r="E92" s="99">
        <v>27</v>
      </c>
      <c r="F92" s="99">
        <v>29</v>
      </c>
      <c r="G92" s="99">
        <v>31</v>
      </c>
      <c r="H92" s="99">
        <v>33</v>
      </c>
      <c r="I92" s="99">
        <v>35</v>
      </c>
      <c r="J92" s="99">
        <v>37</v>
      </c>
      <c r="K92" s="99">
        <v>39</v>
      </c>
    </row>
    <row r="93" spans="1:11" ht="15.75">
      <c r="A93" s="236" t="s">
        <v>123</v>
      </c>
      <c r="B93" s="236"/>
      <c r="C93" s="175">
        <v>9.5</v>
      </c>
      <c r="D93" s="175">
        <v>12.6</v>
      </c>
      <c r="E93" s="175">
        <v>17.3</v>
      </c>
      <c r="F93" s="175">
        <v>24.4</v>
      </c>
      <c r="G93" s="175">
        <v>34.6</v>
      </c>
      <c r="H93" s="175">
        <v>48.6</v>
      </c>
      <c r="I93" s="175">
        <v>71.3</v>
      </c>
      <c r="J93" s="175">
        <v>108</v>
      </c>
      <c r="K93" s="175">
        <v>163</v>
      </c>
    </row>
    <row r="94" spans="1:11" ht="15.75">
      <c r="A94" s="236" t="s">
        <v>124</v>
      </c>
      <c r="B94" s="236"/>
      <c r="C94" s="175">
        <v>18.6</v>
      </c>
      <c r="D94" s="175">
        <v>24.8</v>
      </c>
      <c r="E94" s="175">
        <v>32.8</v>
      </c>
      <c r="F94" s="175">
        <v>45.5</v>
      </c>
      <c r="G94" s="175">
        <v>64</v>
      </c>
      <c r="H94" s="175">
        <v>87.6</v>
      </c>
      <c r="I94" s="175">
        <v>127</v>
      </c>
      <c r="J94" s="175">
        <v>185</v>
      </c>
      <c r="K94" s="175">
        <v>260</v>
      </c>
    </row>
    <row r="95" spans="1:11" ht="15.75">
      <c r="A95" s="177"/>
      <c r="B95" s="181">
        <v>4</v>
      </c>
      <c r="C95" s="175">
        <v>0.78</v>
      </c>
      <c r="D95" s="175">
        <v>0.79</v>
      </c>
      <c r="E95" s="175">
        <v>0.8</v>
      </c>
      <c r="F95" s="175">
        <v>0.82</v>
      </c>
      <c r="G95" s="175">
        <v>0.84</v>
      </c>
      <c r="H95" s="175">
        <v>0.85</v>
      </c>
      <c r="I95" s="175">
        <v>0.85</v>
      </c>
      <c r="J95" s="175">
        <v>0.86</v>
      </c>
      <c r="K95" s="175">
        <v>0.87</v>
      </c>
    </row>
    <row r="96" spans="1:11" ht="15.75">
      <c r="A96" s="178" t="s">
        <v>125</v>
      </c>
      <c r="B96" s="181">
        <v>5</v>
      </c>
      <c r="C96" s="175">
        <v>0.75</v>
      </c>
      <c r="D96" s="175">
        <v>0.76</v>
      </c>
      <c r="E96" s="175">
        <v>0.77</v>
      </c>
      <c r="F96" s="175">
        <v>0.79</v>
      </c>
      <c r="G96" s="175">
        <v>0.81</v>
      </c>
      <c r="H96" s="175">
        <v>0.82</v>
      </c>
      <c r="I96" s="175">
        <v>0.83</v>
      </c>
      <c r="J96" s="175">
        <v>0.84</v>
      </c>
      <c r="K96" s="175">
        <v>0.85</v>
      </c>
    </row>
    <row r="97" spans="1:11" ht="15.75">
      <c r="A97" s="179" t="s">
        <v>126</v>
      </c>
      <c r="B97" s="181">
        <v>7.5</v>
      </c>
      <c r="C97" s="175">
        <v>0.68</v>
      </c>
      <c r="D97" s="175">
        <v>0.7</v>
      </c>
      <c r="E97" s="175">
        <v>0.7</v>
      </c>
      <c r="F97" s="175">
        <v>0.74</v>
      </c>
      <c r="G97" s="175">
        <v>0.76</v>
      </c>
      <c r="H97" s="175">
        <v>0.78</v>
      </c>
      <c r="I97" s="175">
        <v>0.8</v>
      </c>
      <c r="J97" s="175">
        <v>0.82</v>
      </c>
      <c r="K97" s="175">
        <v>0.84</v>
      </c>
    </row>
    <row r="98" spans="1:11" ht="15.75">
      <c r="A98" s="179"/>
      <c r="B98" s="181">
        <v>10</v>
      </c>
      <c r="C98" s="175">
        <v>0.62</v>
      </c>
      <c r="D98" s="175">
        <v>0.65</v>
      </c>
      <c r="E98" s="175">
        <v>0.67</v>
      </c>
      <c r="F98" s="175">
        <v>0.7</v>
      </c>
      <c r="G98" s="175">
        <v>0.73</v>
      </c>
      <c r="H98" s="175">
        <v>0.75</v>
      </c>
      <c r="I98" s="175">
        <v>0.77</v>
      </c>
      <c r="J98" s="175">
        <v>0.79</v>
      </c>
      <c r="K98" s="175">
        <v>0.81</v>
      </c>
    </row>
    <row r="99" spans="1:11" ht="15.75">
      <c r="A99" s="179"/>
      <c r="B99" s="181">
        <v>12.5</v>
      </c>
      <c r="C99" s="175">
        <v>0.58</v>
      </c>
      <c r="D99" s="175">
        <v>0.64</v>
      </c>
      <c r="E99" s="175">
        <v>0.63</v>
      </c>
      <c r="F99" s="175">
        <v>0.67</v>
      </c>
      <c r="G99" s="175">
        <v>0.7</v>
      </c>
      <c r="H99" s="175">
        <v>0.73</v>
      </c>
      <c r="I99" s="175">
        <v>0.75</v>
      </c>
      <c r="J99" s="175">
        <v>0.77</v>
      </c>
      <c r="K99" s="175">
        <v>0.8</v>
      </c>
    </row>
    <row r="100" spans="1:11" ht="15.75">
      <c r="A100" s="179"/>
      <c r="B100" s="181">
        <v>15</v>
      </c>
      <c r="C100" s="175">
        <v>0.55</v>
      </c>
      <c r="D100" s="175">
        <v>0.58</v>
      </c>
      <c r="E100" s="175">
        <v>0.61</v>
      </c>
      <c r="F100" s="175">
        <v>0.65</v>
      </c>
      <c r="G100" s="175">
        <v>0.68</v>
      </c>
      <c r="H100" s="175">
        <v>0.71</v>
      </c>
      <c r="I100" s="175">
        <v>0.73</v>
      </c>
      <c r="J100" s="175">
        <v>0.76</v>
      </c>
      <c r="K100" s="175">
        <v>0.79</v>
      </c>
    </row>
    <row r="101" spans="1:11" ht="15.75">
      <c r="A101" s="179"/>
      <c r="B101" s="181">
        <v>17.5</v>
      </c>
      <c r="C101" s="175">
        <v>0.51</v>
      </c>
      <c r="D101" s="175">
        <v>0.55</v>
      </c>
      <c r="E101" s="175">
        <v>0.58</v>
      </c>
      <c r="F101" s="175">
        <v>0.62</v>
      </c>
      <c r="G101" s="175">
        <v>0.66</v>
      </c>
      <c r="H101" s="175">
        <v>0.69</v>
      </c>
      <c r="I101" s="175">
        <v>0.72</v>
      </c>
      <c r="J101" s="175">
        <v>0.75</v>
      </c>
      <c r="K101" s="175">
        <v>0.78</v>
      </c>
    </row>
    <row r="102" spans="1:11" ht="15.75">
      <c r="A102" s="179"/>
      <c r="B102" s="181">
        <v>20</v>
      </c>
      <c r="C102" s="175">
        <v>0.49</v>
      </c>
      <c r="D102" s="175">
        <v>0.53</v>
      </c>
      <c r="E102" s="175">
        <v>0.57</v>
      </c>
      <c r="F102" s="175">
        <v>0.61</v>
      </c>
      <c r="G102" s="175">
        <v>0.65</v>
      </c>
      <c r="H102" s="175">
        <v>0.68</v>
      </c>
      <c r="I102" s="175">
        <v>0.72</v>
      </c>
      <c r="J102" s="175">
        <v>0.75</v>
      </c>
      <c r="K102" s="175">
        <v>0.78</v>
      </c>
    </row>
    <row r="103" spans="1:11" ht="15.75">
      <c r="A103" s="179"/>
      <c r="B103" s="181">
        <v>22.5</v>
      </c>
      <c r="C103" s="175">
        <v>0.46</v>
      </c>
      <c r="D103" s="175">
        <v>0.51</v>
      </c>
      <c r="E103" s="175">
        <v>0.55</v>
      </c>
      <c r="F103" s="175">
        <v>0.6</v>
      </c>
      <c r="G103" s="175">
        <v>0.64</v>
      </c>
      <c r="H103" s="175">
        <v>0.67</v>
      </c>
      <c r="I103" s="175">
        <v>0.71</v>
      </c>
      <c r="J103" s="175">
        <v>0.74</v>
      </c>
      <c r="K103" s="175">
        <v>0.77</v>
      </c>
    </row>
    <row r="104" spans="1:11" ht="15.75">
      <c r="A104" s="180"/>
      <c r="B104" s="182" t="s">
        <v>127</v>
      </c>
      <c r="C104" s="175">
        <v>0.44</v>
      </c>
      <c r="D104" s="175">
        <v>0.49</v>
      </c>
      <c r="E104" s="175">
        <v>0.54</v>
      </c>
      <c r="F104" s="175">
        <v>0.59</v>
      </c>
      <c r="G104" s="175">
        <v>0.63</v>
      </c>
      <c r="H104" s="175">
        <v>0.67</v>
      </c>
      <c r="I104" s="175">
        <v>0.7</v>
      </c>
      <c r="J104" s="175">
        <v>0.74</v>
      </c>
      <c r="K104" s="175">
        <v>0.77</v>
      </c>
    </row>
    <row r="105" spans="1:11" ht="14.25">
      <c r="A105" s="183" t="s">
        <v>128</v>
      </c>
      <c r="B105" s="40" t="s">
        <v>130</v>
      </c>
      <c r="C105" s="175">
        <v>0.31</v>
      </c>
      <c r="D105" s="175">
        <v>0.31</v>
      </c>
      <c r="E105" s="175">
        <v>0.29</v>
      </c>
      <c r="F105" s="175">
        <v>0.27</v>
      </c>
      <c r="G105" s="175">
        <v>0.26</v>
      </c>
      <c r="H105" s="175">
        <v>0.25</v>
      </c>
      <c r="I105" s="175">
        <v>0.24</v>
      </c>
      <c r="J105" s="175">
        <v>0.28</v>
      </c>
      <c r="K105" s="175">
        <v>0.28</v>
      </c>
    </row>
    <row r="106" spans="1:11" ht="14.25">
      <c r="A106" s="180" t="s">
        <v>129</v>
      </c>
      <c r="B106" s="40" t="s">
        <v>131</v>
      </c>
      <c r="C106" s="175">
        <v>0.25</v>
      </c>
      <c r="D106" s="175">
        <v>0.21</v>
      </c>
      <c r="E106" s="175">
        <v>0.23</v>
      </c>
      <c r="F106" s="175">
        <v>0.22</v>
      </c>
      <c r="G106" s="175">
        <v>0.21</v>
      </c>
      <c r="H106" s="175">
        <v>0.2</v>
      </c>
      <c r="I106" s="175">
        <v>0.19</v>
      </c>
      <c r="J106" s="175">
        <v>0.18</v>
      </c>
      <c r="K106" s="175">
        <v>0.17</v>
      </c>
    </row>
    <row r="108" ht="15.75">
      <c r="A108" s="42" t="s">
        <v>496</v>
      </c>
    </row>
    <row r="109" ht="15.75">
      <c r="A109" s="41" t="s">
        <v>97</v>
      </c>
    </row>
    <row r="110" ht="15.75">
      <c r="A110" s="41" t="s">
        <v>101</v>
      </c>
    </row>
    <row r="111" ht="15.75">
      <c r="A111" s="60" t="s">
        <v>497</v>
      </c>
    </row>
    <row r="112" ht="14.25">
      <c r="A112" s="41" t="s">
        <v>498</v>
      </c>
    </row>
    <row r="113" ht="15.75">
      <c r="A113" s="41" t="s">
        <v>98</v>
      </c>
    </row>
    <row r="114" ht="15.75">
      <c r="A114" s="41" t="s">
        <v>100</v>
      </c>
    </row>
    <row r="115" ht="15.75">
      <c r="A115" s="41" t="s">
        <v>99</v>
      </c>
    </row>
  </sheetData>
  <mergeCells count="114">
    <mergeCell ref="A87:F87"/>
    <mergeCell ref="A82:F82"/>
    <mergeCell ref="A83:F83"/>
    <mergeCell ref="A84:F84"/>
    <mergeCell ref="A85:F85"/>
    <mergeCell ref="G75:J75"/>
    <mergeCell ref="A75:F76"/>
    <mergeCell ref="A77:F77"/>
    <mergeCell ref="A86:F86"/>
    <mergeCell ref="A78:F78"/>
    <mergeCell ref="A79:F79"/>
    <mergeCell ref="A80:F80"/>
    <mergeCell ref="A81:F81"/>
    <mergeCell ref="A69:F69"/>
    <mergeCell ref="G69:H69"/>
    <mergeCell ref="I69:J69"/>
    <mergeCell ref="A73:H73"/>
    <mergeCell ref="A67:F67"/>
    <mergeCell ref="G67:H67"/>
    <mergeCell ref="I67:J67"/>
    <mergeCell ref="A68:F68"/>
    <mergeCell ref="G68:H68"/>
    <mergeCell ref="I68:J68"/>
    <mergeCell ref="A65:F65"/>
    <mergeCell ref="G65:H65"/>
    <mergeCell ref="I65:J65"/>
    <mergeCell ref="A66:F66"/>
    <mergeCell ref="G66:H66"/>
    <mergeCell ref="I66:J66"/>
    <mergeCell ref="A63:F63"/>
    <mergeCell ref="G63:H63"/>
    <mergeCell ref="I63:J63"/>
    <mergeCell ref="A64:F64"/>
    <mergeCell ref="G64:H64"/>
    <mergeCell ref="I64:J64"/>
    <mergeCell ref="A61:F61"/>
    <mergeCell ref="G61:H61"/>
    <mergeCell ref="I61:J61"/>
    <mergeCell ref="A62:F62"/>
    <mergeCell ref="G62:H62"/>
    <mergeCell ref="I62:J62"/>
    <mergeCell ref="A59:F59"/>
    <mergeCell ref="G59:H59"/>
    <mergeCell ref="I59:J59"/>
    <mergeCell ref="A60:F60"/>
    <mergeCell ref="G60:H60"/>
    <mergeCell ref="I60:J60"/>
    <mergeCell ref="A57:F57"/>
    <mergeCell ref="G57:H57"/>
    <mergeCell ref="I57:J57"/>
    <mergeCell ref="A58:F58"/>
    <mergeCell ref="G58:H58"/>
    <mergeCell ref="I58:J58"/>
    <mergeCell ref="I53:J53"/>
    <mergeCell ref="I54:J54"/>
    <mergeCell ref="I55:J55"/>
    <mergeCell ref="A56:F56"/>
    <mergeCell ref="G56:H56"/>
    <mergeCell ref="I56:J56"/>
    <mergeCell ref="A53:F53"/>
    <mergeCell ref="A54:F54"/>
    <mergeCell ref="A55:F55"/>
    <mergeCell ref="G55:H55"/>
    <mergeCell ref="G51:H51"/>
    <mergeCell ref="G52:H52"/>
    <mergeCell ref="G53:H53"/>
    <mergeCell ref="G54:H54"/>
    <mergeCell ref="I49:J49"/>
    <mergeCell ref="I50:J50"/>
    <mergeCell ref="A51:F51"/>
    <mergeCell ref="A52:F52"/>
    <mergeCell ref="I51:J51"/>
    <mergeCell ref="I52:J52"/>
    <mergeCell ref="A49:F49"/>
    <mergeCell ref="A50:F50"/>
    <mergeCell ref="G49:H49"/>
    <mergeCell ref="G50:H50"/>
    <mergeCell ref="B4:H4"/>
    <mergeCell ref="B3:H3"/>
    <mergeCell ref="A2:H2"/>
    <mergeCell ref="B6:H6"/>
    <mergeCell ref="A19:H19"/>
    <mergeCell ref="B20:J20"/>
    <mergeCell ref="B21:J21"/>
    <mergeCell ref="B23:J23"/>
    <mergeCell ref="A39:H39"/>
    <mergeCell ref="A43:F43"/>
    <mergeCell ref="G40:J40"/>
    <mergeCell ref="G41:J41"/>
    <mergeCell ref="G42:H42"/>
    <mergeCell ref="I42:J42"/>
    <mergeCell ref="A40:F42"/>
    <mergeCell ref="G43:H43"/>
    <mergeCell ref="G45:H45"/>
    <mergeCell ref="G46:H46"/>
    <mergeCell ref="I43:J43"/>
    <mergeCell ref="A44:F44"/>
    <mergeCell ref="G44:H44"/>
    <mergeCell ref="I44:J44"/>
    <mergeCell ref="A48:F48"/>
    <mergeCell ref="G48:H48"/>
    <mergeCell ref="I48:J48"/>
    <mergeCell ref="I45:J45"/>
    <mergeCell ref="I46:J46"/>
    <mergeCell ref="A47:F47"/>
    <mergeCell ref="G47:H47"/>
    <mergeCell ref="I47:J47"/>
    <mergeCell ref="A45:F45"/>
    <mergeCell ref="A46:F46"/>
    <mergeCell ref="A93:B93"/>
    <mergeCell ref="A94:B94"/>
    <mergeCell ref="A89:H89"/>
    <mergeCell ref="C91:K91"/>
    <mergeCell ref="A91:B92"/>
  </mergeCells>
  <printOptions/>
  <pageMargins left="0.81" right="0.75" top="1" bottom="1" header="0.5" footer="0.5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defaultGridColor="0" colorId="0" workbookViewId="0" topLeftCell="A1">
      <selection activeCell="C1" sqref="C1"/>
    </sheetView>
  </sheetViews>
  <sheetFormatPr defaultColWidth="9.140625" defaultRowHeight="12.75"/>
  <cols>
    <col min="1" max="1" width="29.8515625" style="209" customWidth="1"/>
    <col min="2" max="2" width="1.28515625" style="209" customWidth="1"/>
    <col min="3" max="3" width="32.140625" style="209" customWidth="1"/>
    <col min="4" max="16384" width="9.140625" style="209" customWidth="1"/>
  </cols>
  <sheetData>
    <row r="1" ht="12.75">
      <c r="A1" s="208" t="s">
        <v>615</v>
      </c>
    </row>
    <row r="2" ht="13.5" thickBot="1">
      <c r="A2" s="208" t="s">
        <v>616</v>
      </c>
    </row>
    <row r="3" spans="1:3" ht="13.5" thickBot="1">
      <c r="A3" s="210" t="s">
        <v>617</v>
      </c>
      <c r="C3" s="211" t="s">
        <v>618</v>
      </c>
    </row>
    <row r="4" ht="12.75">
      <c r="A4" s="210" t="e">
        <v>#N/A</v>
      </c>
    </row>
    <row r="5" ht="12.75"/>
    <row r="6" ht="13.5" thickBot="1"/>
    <row r="7" ht="12.75">
      <c r="A7" s="213" t="s">
        <v>619</v>
      </c>
    </row>
    <row r="8" ht="12.75">
      <c r="A8" s="214" t="s">
        <v>620</v>
      </c>
    </row>
    <row r="9" ht="12.75">
      <c r="A9" s="215" t="s">
        <v>621</v>
      </c>
    </row>
    <row r="10" ht="12.75">
      <c r="A10" s="214" t="s">
        <v>622</v>
      </c>
    </row>
    <row r="11" ht="13.5" thickBot="1">
      <c r="A11" s="216" t="s">
        <v>623</v>
      </c>
    </row>
    <row r="12" ht="12.75"/>
    <row r="13" ht="13.5" thickBot="1"/>
    <row r="14" ht="13.5" thickBot="1">
      <c r="A14" s="211" t="s">
        <v>624</v>
      </c>
    </row>
    <row r="15" ht="12.75"/>
    <row r="16" ht="13.5" thickBot="1"/>
    <row r="17" ht="13.5" thickBot="1">
      <c r="C17" s="211" t="s">
        <v>625</v>
      </c>
    </row>
    <row r="18" ht="12.75"/>
    <row r="19" ht="12.75"/>
    <row r="20" ht="12.75">
      <c r="A20" s="218" t="s">
        <v>626</v>
      </c>
    </row>
    <row r="21" ht="12.75"/>
    <row r="22" ht="12.75"/>
    <row r="23" ht="12.75"/>
    <row r="24" ht="12.75"/>
    <row r="25" ht="12.75"/>
    <row r="26" ht="13.5" thickBot="1">
      <c r="C26" s="220" t="s">
        <v>627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C3" sqref="C3"/>
    </sheetView>
  </sheetViews>
  <sheetFormatPr defaultColWidth="9.140625" defaultRowHeight="12.75"/>
  <cols>
    <col min="1" max="1" width="8.28125" style="41" customWidth="1"/>
    <col min="2" max="2" width="8.57421875" style="41" customWidth="1"/>
    <col min="3" max="3" width="9.140625" style="41" customWidth="1"/>
    <col min="4" max="4" width="7.7109375" style="41" customWidth="1"/>
    <col min="5" max="5" width="8.28125" style="41" customWidth="1"/>
    <col min="6" max="6" width="7.57421875" style="41" customWidth="1"/>
    <col min="7" max="7" width="7.8515625" style="41" customWidth="1"/>
    <col min="8" max="8" width="9.00390625" style="41" customWidth="1"/>
    <col min="9" max="9" width="8.28125" style="41" customWidth="1"/>
    <col min="10" max="16384" width="9.140625" style="41" customWidth="1"/>
  </cols>
  <sheetData>
    <row r="1" ht="15.75">
      <c r="A1" s="43" t="s">
        <v>170</v>
      </c>
    </row>
    <row r="2" spans="1:3" ht="15.75">
      <c r="A2" s="43" t="s">
        <v>67</v>
      </c>
      <c r="C2" s="172" t="str">
        <f>'MONG COC BTCT'!$D$2</f>
        <v>M1</v>
      </c>
    </row>
    <row r="3" ht="14.25">
      <c r="A3" s="41" t="s">
        <v>8</v>
      </c>
    </row>
    <row r="4" ht="14.25">
      <c r="A4" s="41" t="s">
        <v>9</v>
      </c>
    </row>
    <row r="5" ht="12.75">
      <c r="A5" s="42" t="s">
        <v>196</v>
      </c>
    </row>
    <row r="6" ht="12.75"/>
    <row r="7" ht="12.75">
      <c r="C7" s="41" t="s">
        <v>195</v>
      </c>
    </row>
    <row r="8" ht="12.75"/>
    <row r="9" ht="15.75">
      <c r="A9" s="42" t="s">
        <v>197</v>
      </c>
    </row>
    <row r="10" ht="12.75"/>
    <row r="11" ht="12.75"/>
    <row r="12" ht="12.75"/>
    <row r="13" ht="14.25">
      <c r="A13" s="41" t="s">
        <v>188</v>
      </c>
    </row>
    <row r="14" spans="2:4" ht="16.5">
      <c r="B14" s="151" t="s">
        <v>542</v>
      </c>
      <c r="C14" s="48">
        <f>'MONG COC BTCT'!$B$92</f>
        <v>45.4574280424913</v>
      </c>
      <c r="D14" s="41" t="s">
        <v>198</v>
      </c>
    </row>
    <row r="15" spans="2:4" ht="16.5">
      <c r="B15" s="151" t="s">
        <v>543</v>
      </c>
      <c r="C15" s="159">
        <f>'MONG COC BTCT'!$D$74</f>
        <v>25.746000000000002</v>
      </c>
      <c r="D15" s="41" t="s">
        <v>198</v>
      </c>
    </row>
    <row r="16" spans="2:4" ht="15.75">
      <c r="B16" s="41" t="s">
        <v>0</v>
      </c>
      <c r="C16" s="161">
        <f>'MONG COC BTCT'!$D$63</f>
        <v>3.287711749121436</v>
      </c>
      <c r="D16" s="152" t="s">
        <v>27</v>
      </c>
    </row>
    <row r="17" spans="2:4" ht="15.75">
      <c r="B17" s="41" t="s">
        <v>2</v>
      </c>
      <c r="C17" s="161">
        <f>'MONG COC BTCT'!$D$60</f>
        <v>3.287711749121436</v>
      </c>
      <c r="D17" s="152" t="s">
        <v>28</v>
      </c>
    </row>
    <row r="18" spans="2:4" ht="16.5">
      <c r="B18" s="151" t="s">
        <v>31</v>
      </c>
      <c r="C18" s="160">
        <f>'MONG COC BTCT'!$C$73</f>
        <v>0.876</v>
      </c>
      <c r="D18" s="41" t="s">
        <v>29</v>
      </c>
    </row>
    <row r="19" ht="14.25">
      <c r="D19" s="41" t="s">
        <v>30</v>
      </c>
    </row>
    <row r="20" spans="1:4" ht="16.5">
      <c r="A20" s="41" t="s">
        <v>193</v>
      </c>
      <c r="B20" s="151" t="s">
        <v>1</v>
      </c>
      <c r="C20" s="48">
        <f>C14-C15</f>
        <v>19.7114280424913</v>
      </c>
      <c r="D20" s="41" t="s">
        <v>198</v>
      </c>
    </row>
    <row r="22" spans="1:9" ht="15.75">
      <c r="A22" s="41" t="s">
        <v>135</v>
      </c>
      <c r="F22" s="47"/>
      <c r="H22" s="48">
        <f>C16/5</f>
        <v>0.6575423498242872</v>
      </c>
      <c r="I22" s="41" t="s">
        <v>187</v>
      </c>
    </row>
    <row r="23" ht="15.75">
      <c r="A23" s="43" t="s">
        <v>199</v>
      </c>
    </row>
    <row r="24" spans="2:4" ht="16.5">
      <c r="B24" s="153" t="s">
        <v>202</v>
      </c>
      <c r="C24" s="42"/>
      <c r="D24" s="41" t="s">
        <v>198</v>
      </c>
    </row>
    <row r="25" spans="2:4" ht="16.5">
      <c r="B25" s="154" t="s">
        <v>6</v>
      </c>
      <c r="C25" s="163" t="s">
        <v>7</v>
      </c>
      <c r="D25" s="41" t="s">
        <v>198</v>
      </c>
    </row>
    <row r="27" spans="1:8" ht="16.5">
      <c r="A27" s="147" t="s">
        <v>200</v>
      </c>
      <c r="B27" s="37" t="s">
        <v>23</v>
      </c>
      <c r="C27" s="148" t="s">
        <v>3</v>
      </c>
      <c r="D27" s="37" t="s">
        <v>4</v>
      </c>
      <c r="E27" s="37" t="s">
        <v>201</v>
      </c>
      <c r="F27" s="38" t="s">
        <v>18</v>
      </c>
      <c r="G27" s="38" t="s">
        <v>19</v>
      </c>
      <c r="H27" s="38" t="s">
        <v>20</v>
      </c>
    </row>
    <row r="28" spans="1:8" ht="15.75">
      <c r="A28" s="162">
        <v>0</v>
      </c>
      <c r="B28" s="155">
        <f>A28*$H$22</f>
        <v>0</v>
      </c>
      <c r="C28" s="166">
        <f>$C$17/$C$16</f>
        <v>1</v>
      </c>
      <c r="D28" s="82">
        <f>2*B28/$C$16</f>
        <v>0</v>
      </c>
      <c r="E28" s="188">
        <v>1</v>
      </c>
      <c r="F28" s="65">
        <f>$C$20*E28</f>
        <v>19.7114280424913</v>
      </c>
      <c r="G28" s="65">
        <f>$C$18*B28+$C$15</f>
        <v>25.746000000000002</v>
      </c>
      <c r="H28" s="65">
        <f>G28/F28</f>
        <v>1.3061458532836976</v>
      </c>
    </row>
    <row r="29" spans="1:8" ht="15.75">
      <c r="A29" s="162">
        <v>1</v>
      </c>
      <c r="B29" s="155">
        <f>A29*$H$22</f>
        <v>0.6575423498242872</v>
      </c>
      <c r="C29" s="166">
        <f>$C$17/$C$16</f>
        <v>1</v>
      </c>
      <c r="D29" s="82">
        <f>2*B29/$C$16</f>
        <v>0.4</v>
      </c>
      <c r="E29" s="188">
        <v>0.96</v>
      </c>
      <c r="F29" s="65">
        <f>$C$20*E29</f>
        <v>18.922970920791645</v>
      </c>
      <c r="G29" s="65">
        <f>$C$18*B29+$C$15</f>
        <v>26.32200709844608</v>
      </c>
      <c r="H29" s="65">
        <f>G29/F29</f>
        <v>1.3910081671966599</v>
      </c>
    </row>
    <row r="30" spans="1:8" ht="15.75">
      <c r="A30" s="162">
        <v>2</v>
      </c>
      <c r="B30" s="155">
        <f>A30*$H$22</f>
        <v>1.3150846996485743</v>
      </c>
      <c r="C30" s="166">
        <f>$C$17/$C$16</f>
        <v>1</v>
      </c>
      <c r="D30" s="82">
        <f>2*B30/$C$16</f>
        <v>0.8</v>
      </c>
      <c r="E30" s="188">
        <v>0.8</v>
      </c>
      <c r="F30" s="65">
        <f>$C$20*E30</f>
        <v>15.76914243399304</v>
      </c>
      <c r="G30" s="65">
        <f>$C$18*B30+$C$15</f>
        <v>26.898014196892152</v>
      </c>
      <c r="H30" s="65">
        <f>G30/F30</f>
        <v>1.7057372846673613</v>
      </c>
    </row>
    <row r="31" spans="1:8" ht="15.75">
      <c r="A31" s="162">
        <v>3</v>
      </c>
      <c r="B31" s="155">
        <f>A31*$H$22</f>
        <v>1.9726270494728615</v>
      </c>
      <c r="C31" s="166">
        <f>$C$17/$C$16</f>
        <v>1</v>
      </c>
      <c r="D31" s="82">
        <f>2*B31/$C$16</f>
        <v>1.2</v>
      </c>
      <c r="E31" s="188">
        <v>0.606</v>
      </c>
      <c r="F31" s="65">
        <f>$C$20*E31</f>
        <v>11.945125393749727</v>
      </c>
      <c r="G31" s="65">
        <f>$C$18*B31+$C$15</f>
        <v>27.47402129533823</v>
      </c>
      <c r="H31" s="65">
        <f>G31/F31</f>
        <v>2.3000194966319882</v>
      </c>
    </row>
    <row r="32" spans="1:8" ht="15.75">
      <c r="A32" s="162">
        <v>4</v>
      </c>
      <c r="B32" s="155">
        <f>A32*$H$22</f>
        <v>2.6301693992971487</v>
      </c>
      <c r="C32" s="166">
        <f>$C$17/$C$16</f>
        <v>1</v>
      </c>
      <c r="D32" s="82">
        <f>2*B32/$C$16</f>
        <v>1.6</v>
      </c>
      <c r="E32" s="188">
        <v>0.449</v>
      </c>
      <c r="F32" s="65">
        <f>$C$20*E32</f>
        <v>8.850431191078593</v>
      </c>
      <c r="G32" s="65">
        <f>$C$18*B32+$C$15</f>
        <v>28.050028393784306</v>
      </c>
      <c r="H32" s="65">
        <f>G32/F32</f>
        <v>3.169340316668331</v>
      </c>
    </row>
    <row r="34" ht="15.75">
      <c r="A34" s="41" t="s">
        <v>136</v>
      </c>
    </row>
    <row r="36" ht="15.75">
      <c r="A36" s="43" t="s">
        <v>203</v>
      </c>
    </row>
    <row r="37" spans="1:10" ht="16.5">
      <c r="A37" s="37" t="s">
        <v>204</v>
      </c>
      <c r="B37" s="37" t="s">
        <v>22</v>
      </c>
      <c r="C37" s="38" t="s">
        <v>10</v>
      </c>
      <c r="D37" s="37" t="s">
        <v>11</v>
      </c>
      <c r="E37" s="38" t="s">
        <v>12</v>
      </c>
      <c r="F37" s="38" t="s">
        <v>13</v>
      </c>
      <c r="G37" s="37" t="s">
        <v>14</v>
      </c>
      <c r="H37" s="37" t="s">
        <v>15</v>
      </c>
      <c r="I37" s="37" t="s">
        <v>16</v>
      </c>
      <c r="J37" s="37" t="s">
        <v>17</v>
      </c>
    </row>
    <row r="38" spans="1:10" ht="15.75">
      <c r="A38" s="228">
        <v>1</v>
      </c>
      <c r="B38" s="229">
        <f>$H$22*100</f>
        <v>65.75423498242871</v>
      </c>
      <c r="C38" s="76">
        <f>G28/10</f>
        <v>2.5746</v>
      </c>
      <c r="D38" s="225">
        <f>(C38+C39)/2</f>
        <v>2.603400354922304</v>
      </c>
      <c r="E38" s="76">
        <f>F28/10</f>
        <v>1.97114280424913</v>
      </c>
      <c r="F38" s="225">
        <f>(E38+E39)/2</f>
        <v>1.9317199481641472</v>
      </c>
      <c r="G38" s="225">
        <f>D38+F38</f>
        <v>4.535120303086451</v>
      </c>
      <c r="H38" s="226">
        <v>0.58</v>
      </c>
      <c r="I38" s="226">
        <v>0.57</v>
      </c>
      <c r="J38" s="227">
        <f>(H38-I38)*B38/(1+H38)</f>
        <v>0.4161660441925871</v>
      </c>
    </row>
    <row r="39" spans="1:10" ht="15.75">
      <c r="A39" s="228"/>
      <c r="B39" s="229"/>
      <c r="C39" s="76">
        <f>G29/10</f>
        <v>2.632200709844608</v>
      </c>
      <c r="D39" s="225"/>
      <c r="E39" s="76">
        <f>F29/10</f>
        <v>1.8922970920791644</v>
      </c>
      <c r="F39" s="225"/>
      <c r="G39" s="225"/>
      <c r="H39" s="226"/>
      <c r="I39" s="226"/>
      <c r="J39" s="227"/>
    </row>
    <row r="40" spans="1:10" ht="15.75">
      <c r="A40" s="228">
        <v>2</v>
      </c>
      <c r="B40" s="229">
        <f>$H$22*100</f>
        <v>65.75423498242871</v>
      </c>
      <c r="C40" s="76">
        <f>G29/10</f>
        <v>2.632200709844608</v>
      </c>
      <c r="D40" s="225">
        <f>(C40+C41)/2</f>
        <v>2.6610010647669116</v>
      </c>
      <c r="E40" s="76">
        <f>F29/10</f>
        <v>1.8922970920791644</v>
      </c>
      <c r="F40" s="225">
        <f>(E40+E41)/2</f>
        <v>1.7346056677392343</v>
      </c>
      <c r="G40" s="225">
        <f>D40+F40</f>
        <v>4.395606732506145</v>
      </c>
      <c r="H40" s="226">
        <v>0.577</v>
      </c>
      <c r="I40" s="226">
        <v>0.569</v>
      </c>
      <c r="J40" s="227">
        <f>(H40-I40)*B40/(1+H40)</f>
        <v>0.3335661888772544</v>
      </c>
    </row>
    <row r="41" spans="1:10" ht="15.75">
      <c r="A41" s="228"/>
      <c r="B41" s="229"/>
      <c r="C41" s="76">
        <f>G30/10</f>
        <v>2.689801419689215</v>
      </c>
      <c r="D41" s="225"/>
      <c r="E41" s="76">
        <f>F30/10</f>
        <v>1.576914243399304</v>
      </c>
      <c r="F41" s="225"/>
      <c r="G41" s="225"/>
      <c r="H41" s="226"/>
      <c r="I41" s="226"/>
      <c r="J41" s="227"/>
    </row>
    <row r="42" spans="1:10" ht="15.75">
      <c r="A42" s="228">
        <v>3</v>
      </c>
      <c r="B42" s="229">
        <f>$H$22*100</f>
        <v>65.75423498242871</v>
      </c>
      <c r="C42" s="76">
        <f>G30/10</f>
        <v>2.689801419689215</v>
      </c>
      <c r="D42" s="225">
        <f>(C42+C43)/2</f>
        <v>2.718601774611519</v>
      </c>
      <c r="E42" s="76">
        <f>F30/10</f>
        <v>1.576914243399304</v>
      </c>
      <c r="F42" s="225">
        <f>(E42+E43)/2</f>
        <v>1.3857133913871382</v>
      </c>
      <c r="G42" s="225">
        <f>D42+F42</f>
        <v>4.104315165998657</v>
      </c>
      <c r="H42" s="226">
        <v>0.576</v>
      </c>
      <c r="I42" s="226">
        <v>0.569</v>
      </c>
      <c r="J42" s="227">
        <f>(H42-I42)*B42/(1+H42)</f>
        <v>0.29205561223159987</v>
      </c>
    </row>
    <row r="43" spans="1:10" ht="15.75">
      <c r="A43" s="228"/>
      <c r="B43" s="229"/>
      <c r="C43" s="76">
        <f>G31/10</f>
        <v>2.747402129533823</v>
      </c>
      <c r="D43" s="225"/>
      <c r="E43" s="76">
        <f>F31/10</f>
        <v>1.1945125393749727</v>
      </c>
      <c r="F43" s="225"/>
      <c r="G43" s="225"/>
      <c r="H43" s="226"/>
      <c r="I43" s="226"/>
      <c r="J43" s="227"/>
    </row>
    <row r="44" spans="1:10" ht="15.75">
      <c r="A44" s="228">
        <v>4</v>
      </c>
      <c r="B44" s="229">
        <f>$H$22*100</f>
        <v>65.75423498242871</v>
      </c>
      <c r="C44" s="76">
        <f>G31/10</f>
        <v>2.747402129533823</v>
      </c>
      <c r="D44" s="225">
        <f>(C44+C45)/2</f>
        <v>2.776202484456127</v>
      </c>
      <c r="E44" s="76">
        <f>F31/10</f>
        <v>1.1945125393749727</v>
      </c>
      <c r="F44" s="225">
        <f>(E44+E45)/2</f>
        <v>1.039777829241416</v>
      </c>
      <c r="G44" s="225">
        <f>D44+F44</f>
        <v>3.8159803136975428</v>
      </c>
      <c r="H44" s="226">
        <v>0</v>
      </c>
      <c r="I44" s="226">
        <v>0</v>
      </c>
      <c r="J44" s="227">
        <f>(H44-I44)*B44/(1+H44)</f>
        <v>0</v>
      </c>
    </row>
    <row r="45" spans="1:10" ht="15.75">
      <c r="A45" s="228"/>
      <c r="B45" s="229"/>
      <c r="C45" s="76">
        <f>G32/10</f>
        <v>2.8050028393784308</v>
      </c>
      <c r="D45" s="225"/>
      <c r="E45" s="76">
        <f>F32/10</f>
        <v>0.8850431191078594</v>
      </c>
      <c r="F45" s="225"/>
      <c r="G45" s="225"/>
      <c r="H45" s="226"/>
      <c r="I45" s="226"/>
      <c r="J45" s="227"/>
    </row>
    <row r="46" spans="1:10" ht="15.75">
      <c r="A46" s="164" t="s">
        <v>205</v>
      </c>
      <c r="B46" s="165"/>
      <c r="C46" s="165"/>
      <c r="D46" s="165"/>
      <c r="E46" s="165"/>
      <c r="F46" s="165"/>
      <c r="G46" s="156"/>
      <c r="H46" s="156"/>
      <c r="I46" s="157"/>
      <c r="J46" s="155">
        <f>SUM(J38:J45)</f>
        <v>1.0417878453014413</v>
      </c>
    </row>
    <row r="48" ht="15.75">
      <c r="A48" s="158" t="s">
        <v>206</v>
      </c>
    </row>
    <row r="49" ht="14.25">
      <c r="A49" s="41" t="s">
        <v>21</v>
      </c>
    </row>
    <row r="50" ht="14.25">
      <c r="A50" s="41" t="s">
        <v>207</v>
      </c>
    </row>
    <row r="51" ht="12.75"/>
    <row r="52" ht="12.75"/>
    <row r="53" ht="12.75"/>
    <row r="54" ht="12.75"/>
    <row r="55" ht="12.75"/>
    <row r="56" spans="1:3" ht="14.25">
      <c r="A56" s="150" t="s">
        <v>316</v>
      </c>
      <c r="C56" s="70"/>
    </row>
    <row r="57" ht="14.25">
      <c r="B57" s="50" t="str">
        <f>IF(J46&lt;8,"Ta coù S &lt; Sgh = 8cm, do ñoù thoaû maõn yeâu caàu bieán daïng"," Ta coù S &gt; Sgh, vaäy khoâng thoaû yeâu caàu bieán daïng")</f>
        <v>Ta coù S &lt; Sgh = 8cm, do ñoù thoaû maõn yeâu caàu bieán daïng</v>
      </c>
    </row>
  </sheetData>
  <mergeCells count="32">
    <mergeCell ref="A38:A39"/>
    <mergeCell ref="B38:B39"/>
    <mergeCell ref="D38:D39"/>
    <mergeCell ref="F38:F39"/>
    <mergeCell ref="G38:G39"/>
    <mergeCell ref="H38:H39"/>
    <mergeCell ref="I38:I39"/>
    <mergeCell ref="J38:J39"/>
    <mergeCell ref="A40:A41"/>
    <mergeCell ref="B40:B41"/>
    <mergeCell ref="D40:D41"/>
    <mergeCell ref="F40:F41"/>
    <mergeCell ref="G40:G41"/>
    <mergeCell ref="H40:H41"/>
    <mergeCell ref="I40:I41"/>
    <mergeCell ref="J40:J41"/>
    <mergeCell ref="A42:A43"/>
    <mergeCell ref="B42:B43"/>
    <mergeCell ref="D42:D43"/>
    <mergeCell ref="F42:F43"/>
    <mergeCell ref="G42:G43"/>
    <mergeCell ref="H42:H43"/>
    <mergeCell ref="I42:I43"/>
    <mergeCell ref="J42:J43"/>
    <mergeCell ref="A44:A45"/>
    <mergeCell ref="B44:B45"/>
    <mergeCell ref="D44:D45"/>
    <mergeCell ref="F44:F45"/>
    <mergeCell ref="G44:G45"/>
    <mergeCell ref="H44:H45"/>
    <mergeCell ref="I44:I45"/>
    <mergeCell ref="J44:J45"/>
  </mergeCells>
  <printOptions/>
  <pageMargins left="0.75" right="0.75" top="1" bottom="1" header="0.5" footer="0.5"/>
  <pageSetup orientation="portrait" paperSize="9"/>
  <legacyDrawing r:id="rId6"/>
  <oleObjects>
    <oleObject progId="Equation.3" shapeId="268323" r:id="rId1"/>
    <oleObject progId="Equation.3" shapeId="268324" r:id="rId2"/>
    <oleObject progId="Equation.3" shapeId="268325" r:id="rId3"/>
    <oleObject progId="Equation.3" shapeId="268326" r:id="rId4"/>
    <oleObject progId="Equation.3" shapeId="268327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9">
      <selection activeCell="D41" sqref="D41"/>
    </sheetView>
  </sheetViews>
  <sheetFormatPr defaultColWidth="9.140625" defaultRowHeight="12.75"/>
  <cols>
    <col min="1" max="1" width="11.140625" style="41" customWidth="1"/>
    <col min="2" max="16384" width="9.140625" style="41" customWidth="1"/>
  </cols>
  <sheetData>
    <row r="1" spans="1:2" ht="18">
      <c r="A1" s="170" t="s">
        <v>334</v>
      </c>
      <c r="B1" s="43"/>
    </row>
    <row r="2" spans="1:2" ht="15.75">
      <c r="A2" s="43" t="s">
        <v>67</v>
      </c>
      <c r="B2" s="169" t="str">
        <f>'MONG COC BTCT'!$D$2</f>
        <v>M1</v>
      </c>
    </row>
    <row r="3" spans="1:4" ht="15.75">
      <c r="A3" s="78" t="s">
        <v>139</v>
      </c>
      <c r="B3" s="169"/>
      <c r="C3" s="98">
        <f>'SUC CHIU TAI COC BTCT'!$B$14/100</f>
        <v>0.25</v>
      </c>
      <c r="D3" s="41" t="s">
        <v>187</v>
      </c>
    </row>
    <row r="4" spans="1:2" ht="15.75">
      <c r="A4" s="42" t="s">
        <v>352</v>
      </c>
      <c r="B4" s="42"/>
    </row>
    <row r="5" spans="1:11" ht="15.75">
      <c r="A5" s="42" t="s">
        <v>353</v>
      </c>
      <c r="B5" s="42"/>
      <c r="C5" s="119">
        <v>300</v>
      </c>
      <c r="D5" s="79" t="s">
        <v>322</v>
      </c>
      <c r="E5" s="60">
        <f>VLOOKUP(C5,VATLIEU!A3:F10,2,0)</f>
        <v>130</v>
      </c>
      <c r="F5" s="41" t="s">
        <v>212</v>
      </c>
      <c r="K5" s="42"/>
    </row>
    <row r="6" spans="1:6" ht="15.75">
      <c r="A6" s="42" t="s">
        <v>113</v>
      </c>
      <c r="C6" s="120" t="s">
        <v>228</v>
      </c>
      <c r="D6" s="79" t="s">
        <v>323</v>
      </c>
      <c r="E6" s="60">
        <f>VLOOKUP(C6,VATLIEU!H3:K9,2,0)</f>
        <v>2600</v>
      </c>
      <c r="F6" s="41" t="s">
        <v>212</v>
      </c>
    </row>
    <row r="7" spans="1:5" ht="15.75">
      <c r="A7" s="42" t="s">
        <v>88</v>
      </c>
      <c r="C7" s="44"/>
      <c r="D7" s="79"/>
      <c r="E7" s="60"/>
    </row>
    <row r="8" spans="1:5" ht="15.75">
      <c r="A8" s="42" t="s">
        <v>132</v>
      </c>
      <c r="C8" s="192">
        <v>2.2</v>
      </c>
      <c r="D8" s="79" t="s">
        <v>187</v>
      </c>
      <c r="E8" s="60"/>
    </row>
    <row r="9" spans="1:5" ht="15.75">
      <c r="A9" s="42" t="s">
        <v>133</v>
      </c>
      <c r="C9" s="192">
        <v>2.2</v>
      </c>
      <c r="D9" s="79" t="s">
        <v>187</v>
      </c>
      <c r="E9" s="60"/>
    </row>
    <row r="10" spans="1:5" ht="15.75">
      <c r="A10" s="42" t="s">
        <v>134</v>
      </c>
      <c r="C10" s="44"/>
      <c r="D10" s="79"/>
      <c r="E10" s="60"/>
    </row>
    <row r="11" spans="1:5" ht="15.75">
      <c r="A11" s="42" t="s">
        <v>132</v>
      </c>
      <c r="C11" s="120">
        <v>0.8</v>
      </c>
      <c r="D11" s="79" t="s">
        <v>187</v>
      </c>
      <c r="E11" s="60"/>
    </row>
    <row r="12" spans="1:5" ht="15.75">
      <c r="A12" s="42" t="s">
        <v>133</v>
      </c>
      <c r="C12" s="120">
        <v>0.8</v>
      </c>
      <c r="D12" s="79" t="s">
        <v>187</v>
      </c>
      <c r="E12" s="60"/>
    </row>
    <row r="13" ht="15.75">
      <c r="A13" s="42" t="s">
        <v>335</v>
      </c>
    </row>
    <row r="14" spans="2:4" ht="15.75">
      <c r="B14" s="41" t="s">
        <v>336</v>
      </c>
      <c r="C14" s="43">
        <v>1</v>
      </c>
      <c r="D14" s="41" t="s">
        <v>187</v>
      </c>
    </row>
    <row r="15" ht="14.25">
      <c r="A15" s="189" t="str">
        <f>IF(((C14-0.1)&gt;(C8-C11-C3)/2)*AND((C14-0.1)&gt;(C9-C12-C3)/2),"Ta coù thaùp xuyeân thuûng bao truøm caùc ñaàu coïc neân khaû naêng xuyeân thuûng khoâng coù.","Choïn laïi chieàu cao ñaøi coïc")</f>
        <v>Ta coù thaùp xuyeân thuûng bao truøm caùc ñaàu coïc neân khaû naêng xuyeân thuûng khoâng coù.</v>
      </c>
    </row>
    <row r="16" spans="1:2" ht="15.75">
      <c r="A16" s="42" t="s">
        <v>345</v>
      </c>
      <c r="B16" s="42"/>
    </row>
    <row r="17" ht="12.75"/>
    <row r="18" ht="12.75"/>
    <row r="19" ht="12.75"/>
    <row r="20" ht="12.75"/>
    <row r="21" spans="1:10" ht="15.75">
      <c r="A21" s="85" t="s">
        <v>342</v>
      </c>
      <c r="B21" s="167" t="s">
        <v>64</v>
      </c>
      <c r="C21" s="167" t="s">
        <v>65</v>
      </c>
      <c r="D21" s="230" t="s">
        <v>341</v>
      </c>
      <c r="E21" s="231"/>
      <c r="F21" s="87" t="s">
        <v>350</v>
      </c>
      <c r="G21" s="87" t="s">
        <v>349</v>
      </c>
      <c r="H21" s="87" t="s">
        <v>351</v>
      </c>
      <c r="I21" s="87" t="s">
        <v>344</v>
      </c>
      <c r="J21" s="87" t="s">
        <v>449</v>
      </c>
    </row>
    <row r="22" spans="1:10" ht="15.75">
      <c r="A22" s="88" t="s">
        <v>343</v>
      </c>
      <c r="B22" s="87" t="s">
        <v>346</v>
      </c>
      <c r="C22" s="87" t="s">
        <v>346</v>
      </c>
      <c r="D22" s="86" t="s">
        <v>347</v>
      </c>
      <c r="E22" s="87" t="s">
        <v>348</v>
      </c>
      <c r="F22" s="87" t="s">
        <v>186</v>
      </c>
      <c r="G22" s="87" t="s">
        <v>295</v>
      </c>
      <c r="H22" s="87" t="s">
        <v>295</v>
      </c>
      <c r="I22" s="87" t="s">
        <v>186</v>
      </c>
      <c r="J22" s="87"/>
    </row>
    <row r="23" spans="1:10" ht="15.75">
      <c r="A23" s="82">
        <f>'MONG COC BTCT'!$C$21</f>
        <v>8</v>
      </c>
      <c r="B23" s="155">
        <f>'MONG COC BTCT'!$C$42</f>
        <v>1.2800000000000002</v>
      </c>
      <c r="C23" s="155">
        <f>'MONG COC BTCT'!$C$43</f>
        <v>1.2800000000000002</v>
      </c>
      <c r="D23" s="190">
        <f>'MONG COC BTCT'!$C$40</f>
        <v>0.75</v>
      </c>
      <c r="E23" s="155">
        <f>'MONG COC BTCT'!$C$41</f>
        <v>0.75</v>
      </c>
      <c r="F23" s="65">
        <f>'MONG COC BTCT'!$D$31</f>
        <v>259.6</v>
      </c>
      <c r="G23" s="82">
        <f>'MONG COC BTCT'!$C$34</f>
        <v>2.8</v>
      </c>
      <c r="H23" s="82">
        <f>'MONG COC BTCT'!$C$33</f>
        <v>33</v>
      </c>
      <c r="I23" s="65">
        <f>IF(C23&gt;0,F23/A23+H23*D23/B23+G23*E23/C23,F23/A23+H23*D23/B23)</f>
        <v>53.4265625</v>
      </c>
      <c r="J23" s="191" t="s">
        <v>137</v>
      </c>
    </row>
    <row r="24" spans="1:10" ht="15.75">
      <c r="A24" s="82">
        <f>'MONG COC BTCT'!$C$21</f>
        <v>8</v>
      </c>
      <c r="B24" s="155">
        <f>'MONG COC BTCT'!$C$42</f>
        <v>1.2800000000000002</v>
      </c>
      <c r="C24" s="155">
        <f>'MONG COC BTCT'!$C$43</f>
        <v>1.2800000000000002</v>
      </c>
      <c r="D24" s="190">
        <f>-'MONG COC BTCT'!$C$40</f>
        <v>-0.75</v>
      </c>
      <c r="E24" s="155">
        <f>-'MONG COC BTCT'!$C$41</f>
        <v>-0.75</v>
      </c>
      <c r="F24" s="65">
        <f>'MONG COC BTCT'!$D$31</f>
        <v>259.6</v>
      </c>
      <c r="G24" s="82">
        <f>'MONG COC BTCT'!$C$34</f>
        <v>2.8</v>
      </c>
      <c r="H24" s="82">
        <f>'MONG COC BTCT'!$C$33</f>
        <v>33</v>
      </c>
      <c r="I24" s="65">
        <f>IF(C24&gt;0,F24/A24+H24*D24/B24+G24*E24/C24,F24/A24+H24*D24/B24)</f>
        <v>11.473437500000006</v>
      </c>
      <c r="J24" s="191" t="s">
        <v>137</v>
      </c>
    </row>
    <row r="25" spans="1:10" ht="15.75">
      <c r="A25" s="82">
        <f>'MONG COC BTCT'!$C$21</f>
        <v>8</v>
      </c>
      <c r="B25" s="155">
        <f>'MONG COC BTCT'!$C$42</f>
        <v>1.2800000000000002</v>
      </c>
      <c r="C25" s="155">
        <f>'MONG COC BTCT'!$C$43</f>
        <v>1.2800000000000002</v>
      </c>
      <c r="D25" s="75">
        <v>0.75</v>
      </c>
      <c r="E25" s="75">
        <v>0.9</v>
      </c>
      <c r="F25" s="65">
        <f>'MONG COC BTCT'!$D$31</f>
        <v>259.6</v>
      </c>
      <c r="G25" s="82">
        <f>'MONG COC BTCT'!$C$34</f>
        <v>2.8</v>
      </c>
      <c r="H25" s="82">
        <f>'MONG COC BTCT'!$C$33</f>
        <v>33</v>
      </c>
      <c r="I25" s="65">
        <f>IF(C25&gt;0,F25/A25+H25*D25/B25+G25*E25/C25,F25/A25+H25*D25/B25)</f>
        <v>53.7546875</v>
      </c>
      <c r="J25" s="49"/>
    </row>
    <row r="26" spans="1:10" ht="15.75">
      <c r="A26" s="82">
        <f>'MONG COC BTCT'!$C$21</f>
        <v>8</v>
      </c>
      <c r="B26" s="155">
        <f>'MONG COC BTCT'!$C$42</f>
        <v>1.2800000000000002</v>
      </c>
      <c r="C26" s="155">
        <f>'MONG COC BTCT'!$C$43</f>
        <v>1.2800000000000002</v>
      </c>
      <c r="D26" s="75">
        <v>-0.75</v>
      </c>
      <c r="E26" s="75">
        <v>0.9</v>
      </c>
      <c r="F26" s="65">
        <f>'MONG COC BTCT'!$D$31</f>
        <v>259.6</v>
      </c>
      <c r="G26" s="82">
        <f>'MONG COC BTCT'!$C$34</f>
        <v>2.8</v>
      </c>
      <c r="H26" s="82">
        <f>'MONG COC BTCT'!$C$33</f>
        <v>33</v>
      </c>
      <c r="I26" s="65">
        <f>IF(C26&gt;0,F26/A26+H26*D26/B26+G26*E26/C26,F26/A26+H26*D26/B26)</f>
        <v>15.082812500000006</v>
      </c>
      <c r="J26" s="49"/>
    </row>
    <row r="27" spans="1:10" ht="15.75">
      <c r="A27" s="42" t="s">
        <v>340</v>
      </c>
      <c r="B27" s="42"/>
      <c r="J27" s="84"/>
    </row>
    <row r="28" spans="1:10" ht="15.75">
      <c r="A28" s="42" t="s">
        <v>337</v>
      </c>
      <c r="B28" s="42"/>
      <c r="J28" s="84"/>
    </row>
    <row r="29" spans="1:10" ht="14.25">
      <c r="A29" s="41" t="s">
        <v>116</v>
      </c>
      <c r="J29" s="84"/>
    </row>
    <row r="30" spans="1:10" ht="15.75">
      <c r="A30" s="42" t="s">
        <v>339</v>
      </c>
      <c r="B30" s="42"/>
      <c r="J30" s="84"/>
    </row>
    <row r="31" spans="1:10" ht="14.25">
      <c r="A31" s="41" t="s">
        <v>338</v>
      </c>
      <c r="J31" s="84"/>
    </row>
    <row r="32" spans="1:10" ht="15.75">
      <c r="A32" s="42" t="s">
        <v>354</v>
      </c>
      <c r="J32" s="84"/>
    </row>
    <row r="33" ht="12.75">
      <c r="J33" s="84"/>
    </row>
    <row r="34" spans="4:10" ht="12.75">
      <c r="D34" s="41" t="s">
        <v>612</v>
      </c>
      <c r="J34" s="84"/>
    </row>
    <row r="35" ht="12.75">
      <c r="J35" s="84"/>
    </row>
    <row r="37" spans="1:7" ht="15.75">
      <c r="A37" s="90" t="s">
        <v>537</v>
      </c>
      <c r="B37" s="85" t="s">
        <v>355</v>
      </c>
      <c r="C37" s="85" t="s">
        <v>360</v>
      </c>
      <c r="D37" s="232" t="s">
        <v>356</v>
      </c>
      <c r="E37" s="230"/>
      <c r="F37" s="85" t="s">
        <v>360</v>
      </c>
      <c r="G37" s="85" t="s">
        <v>138</v>
      </c>
    </row>
    <row r="38" spans="1:7" ht="14.25">
      <c r="A38" s="91" t="s">
        <v>538</v>
      </c>
      <c r="B38" s="88"/>
      <c r="C38" s="88"/>
      <c r="D38" s="86" t="s">
        <v>358</v>
      </c>
      <c r="E38" s="86" t="s">
        <v>357</v>
      </c>
      <c r="F38" s="88" t="s">
        <v>359</v>
      </c>
      <c r="G38" s="88"/>
    </row>
    <row r="39" spans="1:7" ht="15.75">
      <c r="A39" s="89" t="s">
        <v>361</v>
      </c>
      <c r="B39" s="168">
        <f>I23*3*(0.8-C12/2)</f>
        <v>64.11187500000001</v>
      </c>
      <c r="C39" s="65">
        <f>B39*10^5/(0.9*$E$6*($C$14*100-15))</f>
        <v>32.233220211161395</v>
      </c>
      <c r="D39" s="64">
        <v>18</v>
      </c>
      <c r="E39" s="64">
        <v>16</v>
      </c>
      <c r="F39" s="65">
        <f>D39*(E39/10)^2*3.142/4</f>
        <v>36.19584000000001</v>
      </c>
      <c r="G39" s="191">
        <f>IF(F39&lt;C39,"Choïn laïi ",ROUND((C9*1000-100)/(D39-1),-1))</f>
        <v>120</v>
      </c>
    </row>
    <row r="40" spans="1:7" ht="15.75">
      <c r="A40" s="51" t="s">
        <v>362</v>
      </c>
      <c r="B40" s="168">
        <f>3*I23*(0.8-C11/2)</f>
        <v>64.11187500000001</v>
      </c>
      <c r="C40" s="65">
        <f>B40*10^5/(0.9*$E$6*($C$14*100-15))</f>
        <v>32.233220211161395</v>
      </c>
      <c r="D40" s="64">
        <v>18</v>
      </c>
      <c r="E40" s="64">
        <v>16</v>
      </c>
      <c r="F40" s="65">
        <f>D40*(E40/10)^2*3.142/4</f>
        <v>36.19584000000001</v>
      </c>
      <c r="G40" s="191">
        <f>IF(F40&lt;C40,"Choïn laïi ",ROUND((C8*1000-100)/(D40-1),-1))</f>
        <v>120</v>
      </c>
    </row>
    <row r="41" ht="14.25">
      <c r="B41" s="41" t="s">
        <v>363</v>
      </c>
    </row>
    <row r="42" ht="14.25">
      <c r="A42" s="150" t="s">
        <v>534</v>
      </c>
    </row>
    <row r="43" ht="14.25">
      <c r="A43" s="50" t="s">
        <v>613</v>
      </c>
    </row>
    <row r="44" ht="15.75">
      <c r="B44" s="42" t="s">
        <v>614</v>
      </c>
    </row>
  </sheetData>
  <mergeCells count="2">
    <mergeCell ref="D21:E21"/>
    <mergeCell ref="D37:E37"/>
  </mergeCells>
  <printOptions/>
  <pageMargins left="0.75" right="0.75" top="1" bottom="1" header="0.5" footer="0.5"/>
  <pageSetup horizontalDpi="600" verticalDpi="600" orientation="portrait" paperSize="9" r:id="rId4"/>
  <headerFooter alignWithMargins="0">
    <oddHeader>&amp;LT&amp;"VNI-Times,Normal"ÍNH TOAÙN MOÙNG COÏC BEÂ TOÂNG COÁT THEÙP</oddHeader>
    <oddFooter>&amp;L&amp;"VNI-Times,Normal"THIEÁT KEÁ : KS. NGUYEÃN TRAÀN KHOA</oddFooter>
  </headerFooter>
  <legacyDrawing r:id="rId3"/>
  <oleObjects>
    <oleObject progId="Equation.3" shapeId="223396" r:id="rId1"/>
    <oleObject progId="Equation.3" shapeId="46418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17" sqref="G17"/>
    </sheetView>
  </sheetViews>
  <sheetFormatPr defaultColWidth="9.140625" defaultRowHeight="12.75"/>
  <cols>
    <col min="1" max="5" width="9.140625" style="41" customWidth="1"/>
    <col min="6" max="6" width="7.00390625" style="41" customWidth="1"/>
    <col min="7" max="16384" width="9.140625" style="41" customWidth="1"/>
  </cols>
  <sheetData>
    <row r="1" ht="15.75">
      <c r="A1" s="43" t="s">
        <v>539</v>
      </c>
    </row>
    <row r="2" spans="1:4" ht="15.75">
      <c r="A2" s="78" t="s">
        <v>321</v>
      </c>
      <c r="D2" s="43"/>
    </row>
    <row r="3" spans="1:5" ht="15.75">
      <c r="A3" s="79" t="s">
        <v>453</v>
      </c>
      <c r="B3" s="79"/>
      <c r="D3" s="119">
        <v>10</v>
      </c>
      <c r="E3" s="79" t="s">
        <v>187</v>
      </c>
    </row>
    <row r="4" spans="1:5" ht="15.75">
      <c r="A4" s="79" t="s">
        <v>454</v>
      </c>
      <c r="B4" s="79"/>
      <c r="D4" s="119">
        <v>25</v>
      </c>
      <c r="E4" s="79" t="s">
        <v>210</v>
      </c>
    </row>
    <row r="5" spans="1:7" ht="15.75">
      <c r="A5" s="79" t="s">
        <v>455</v>
      </c>
      <c r="B5" s="79"/>
      <c r="C5" s="79"/>
      <c r="D5" s="119">
        <v>300</v>
      </c>
      <c r="E5" s="79" t="s">
        <v>459</v>
      </c>
      <c r="F5" s="60">
        <f>VLOOKUP(D5,VATLIEU!A3:F10,2,0)</f>
        <v>130</v>
      </c>
      <c r="G5" s="41" t="s">
        <v>212</v>
      </c>
    </row>
    <row r="6" spans="1:7" ht="15.75">
      <c r="A6" s="79" t="s">
        <v>456</v>
      </c>
      <c r="D6" s="120" t="s">
        <v>228</v>
      </c>
      <c r="E6" s="79" t="s">
        <v>460</v>
      </c>
      <c r="F6" s="60">
        <f>VLOOKUP(D6,VATLIEU!H3:K9,2,0)</f>
        <v>2600</v>
      </c>
      <c r="G6" s="41" t="s">
        <v>212</v>
      </c>
    </row>
    <row r="7" spans="1:6" ht="15.75">
      <c r="A7" s="79" t="s">
        <v>458</v>
      </c>
      <c r="D7" s="120">
        <v>2</v>
      </c>
      <c r="F7" s="60"/>
    </row>
    <row r="8" spans="1:4" ht="15.75">
      <c r="A8" s="79" t="s">
        <v>457</v>
      </c>
      <c r="D8" s="120">
        <v>16</v>
      </c>
    </row>
    <row r="9" ht="15.75">
      <c r="A9" s="60" t="s">
        <v>318</v>
      </c>
    </row>
    <row r="10" ht="15.75">
      <c r="A10" s="42" t="s">
        <v>320</v>
      </c>
    </row>
    <row r="11" ht="14.25">
      <c r="A11" s="41" t="s">
        <v>319</v>
      </c>
    </row>
    <row r="12" ht="15.75">
      <c r="A12" s="42" t="s">
        <v>628</v>
      </c>
    </row>
    <row r="13" spans="2:5" ht="16.5">
      <c r="B13" s="41" t="s">
        <v>629</v>
      </c>
      <c r="D13" s="60">
        <f>1.5*(D4/100)^2*2.5</f>
        <v>0.234375</v>
      </c>
      <c r="E13" s="41" t="s">
        <v>324</v>
      </c>
    </row>
    <row r="14" ht="15.75">
      <c r="A14" s="42" t="s">
        <v>325</v>
      </c>
    </row>
    <row r="15" spans="2:4" ht="15.75">
      <c r="B15" s="42" t="s">
        <v>326</v>
      </c>
      <c r="C15" s="83">
        <f>0.5*(0.207*D3)^2*D13</f>
        <v>0.50213671875</v>
      </c>
      <c r="D15" s="41" t="s">
        <v>295</v>
      </c>
    </row>
    <row r="16" ht="15.75">
      <c r="A16" s="42" t="s">
        <v>327</v>
      </c>
    </row>
    <row r="17" spans="2:5" ht="15.75">
      <c r="B17" s="42" t="s">
        <v>333</v>
      </c>
      <c r="D17" s="83">
        <f>C15*10^5/(0.9*F6*(D4-5))</f>
        <v>1.0729417067307692</v>
      </c>
      <c r="E17" s="41" t="s">
        <v>328</v>
      </c>
    </row>
    <row r="18" ht="15.75">
      <c r="A18" s="42" t="s">
        <v>329</v>
      </c>
    </row>
    <row r="19" ht="14.25">
      <c r="B19" s="50" t="str">
        <f>IF(D17&lt;(D7*3.142*(D8/10)^2)/4,"Ñaûm baûo an toaøn khi vaän chuyeån","Khoâng ñaûm baûo ")</f>
        <v>Ñaûm baûo an toaøn khi vaän chuyeån</v>
      </c>
    </row>
    <row r="20" ht="15.75">
      <c r="A20" s="60" t="s">
        <v>332</v>
      </c>
    </row>
    <row r="21" ht="15.75">
      <c r="A21" s="42" t="s">
        <v>330</v>
      </c>
    </row>
    <row r="22" ht="14.25">
      <c r="A22" s="41" t="s">
        <v>331</v>
      </c>
    </row>
    <row r="23" ht="15.75">
      <c r="A23" s="42" t="s">
        <v>628</v>
      </c>
    </row>
    <row r="24" spans="2:5" ht="16.5">
      <c r="B24" s="41" t="s">
        <v>629</v>
      </c>
      <c r="D24" s="60">
        <f>1.5*(D4/100)^2*2.5</f>
        <v>0.234375</v>
      </c>
      <c r="E24" s="41" t="s">
        <v>324</v>
      </c>
    </row>
    <row r="25" ht="15.75">
      <c r="A25" s="42" t="s">
        <v>325</v>
      </c>
    </row>
    <row r="26" spans="2:4" ht="15.75">
      <c r="B26" s="42" t="s">
        <v>326</v>
      </c>
      <c r="C26" s="83">
        <f>0.5*(0.297*D3)^2*D24</f>
        <v>1.0336992187499998</v>
      </c>
      <c r="D26" s="41" t="s">
        <v>295</v>
      </c>
    </row>
    <row r="27" ht="15.75">
      <c r="A27" s="42" t="s">
        <v>327</v>
      </c>
    </row>
    <row r="28" spans="2:5" ht="15.75">
      <c r="B28" s="42" t="s">
        <v>333</v>
      </c>
      <c r="D28" s="83">
        <f>C26*10^5/(0.9*F6*(D4-5))</f>
        <v>2.2087590144230766</v>
      </c>
      <c r="E28" s="41" t="s">
        <v>328</v>
      </c>
    </row>
    <row r="29" ht="15.75">
      <c r="A29" s="42" t="s">
        <v>329</v>
      </c>
    </row>
    <row r="30" ht="14.25">
      <c r="B30" s="50" t="str">
        <f>IF(D28&lt;(D7*3.142*(D8/10)^2)/4,"Ñaûm baûo an toaøn khi laép döïng","Khoâng ñaûm baûo ")</f>
        <v>Ñaûm baûo an toaøn khi laép döïng</v>
      </c>
    </row>
  </sheetData>
  <printOptions/>
  <pageMargins left="0.75" right="0.46" top="1" bottom="1" header="0.5" footer="0.5"/>
  <pageSetup horizontalDpi="600" verticalDpi="600" orientation="portrait" paperSize="9" r:id="rId1"/>
  <headerFooter alignWithMargins="0">
    <oddFooter>&amp;L&amp;"VNI-Times,Normal"THIEÁT KEÁ:KS.NGUYEÃN TRAÀN KHOA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32">
      <selection activeCell="F46" sqref="F46"/>
    </sheetView>
  </sheetViews>
  <sheetFormatPr defaultColWidth="9.140625" defaultRowHeight="12.75"/>
  <cols>
    <col min="1" max="1" width="9.00390625" style="41" customWidth="1"/>
    <col min="2" max="3" width="8.140625" style="41" customWidth="1"/>
    <col min="4" max="4" width="10.8515625" style="42" customWidth="1"/>
    <col min="5" max="5" width="15.00390625" style="41" customWidth="1"/>
    <col min="6" max="6" width="9.00390625" style="41" customWidth="1"/>
    <col min="7" max="7" width="7.28125" style="41" customWidth="1"/>
    <col min="8" max="8" width="8.421875" style="41" customWidth="1"/>
    <col min="9" max="16384" width="9.140625" style="41" customWidth="1"/>
  </cols>
  <sheetData>
    <row r="1" spans="2:4" ht="15.75">
      <c r="B1" s="43" t="s">
        <v>231</v>
      </c>
      <c r="C1" s="43"/>
      <c r="D1" s="43"/>
    </row>
    <row r="2" spans="2:14" ht="15.75">
      <c r="B2" s="43" t="s">
        <v>66</v>
      </c>
      <c r="C2" s="43"/>
      <c r="D2" s="169" t="s">
        <v>117</v>
      </c>
      <c r="N2" s="42" t="s">
        <v>250</v>
      </c>
    </row>
    <row r="3" spans="1:14" ht="15.75">
      <c r="A3" s="42" t="s">
        <v>232</v>
      </c>
      <c r="N3" s="41" t="s">
        <v>252</v>
      </c>
    </row>
    <row r="4" spans="1:14" ht="16.5">
      <c r="A4" s="41" t="s">
        <v>239</v>
      </c>
      <c r="F4" s="120">
        <v>242</v>
      </c>
      <c r="G4" s="41" t="s">
        <v>186</v>
      </c>
      <c r="N4" s="41" t="s">
        <v>251</v>
      </c>
    </row>
    <row r="5" spans="1:7" ht="15.75">
      <c r="A5" s="41" t="s">
        <v>236</v>
      </c>
      <c r="F5" s="187">
        <f>'SUC CHIU TAI COC BTCT'!$B$150</f>
        <v>55.11363636363637</v>
      </c>
      <c r="G5" s="45" t="s">
        <v>186</v>
      </c>
    </row>
    <row r="6" spans="1:7" ht="16.5">
      <c r="A6" s="41" t="s">
        <v>242</v>
      </c>
      <c r="F6" s="120">
        <v>2</v>
      </c>
      <c r="G6" s="41" t="s">
        <v>191</v>
      </c>
    </row>
    <row r="7" spans="1:5" ht="15.75">
      <c r="A7" s="41" t="s">
        <v>241</v>
      </c>
      <c r="D7" s="120">
        <v>2</v>
      </c>
      <c r="E7" s="41" t="s">
        <v>187</v>
      </c>
    </row>
    <row r="8" spans="1:5" ht="15.75">
      <c r="A8" s="41" t="s">
        <v>270</v>
      </c>
      <c r="D8" s="120">
        <v>10</v>
      </c>
      <c r="E8" s="41" t="s">
        <v>187</v>
      </c>
    </row>
    <row r="9" spans="1:5" ht="15.75">
      <c r="A9" s="41" t="s">
        <v>233</v>
      </c>
      <c r="D9" s="185">
        <f>'SUC CHIU TAI COC BTCT'!$B$14</f>
        <v>25</v>
      </c>
      <c r="E9" s="41" t="s">
        <v>210</v>
      </c>
    </row>
    <row r="10" spans="1:7" ht="15.75">
      <c r="A10" s="41" t="s">
        <v>234</v>
      </c>
      <c r="F10" s="46">
        <f>D9*3/100</f>
        <v>0.75</v>
      </c>
      <c r="G10" s="41" t="s">
        <v>187</v>
      </c>
    </row>
    <row r="11" ht="15.75">
      <c r="A11" s="41" t="s">
        <v>235</v>
      </c>
    </row>
    <row r="12" spans="2:5" ht="16.5">
      <c r="B12" s="41" t="s">
        <v>237</v>
      </c>
      <c r="D12" s="46">
        <f>F5/(F10)^2</f>
        <v>97.97979797979798</v>
      </c>
      <c r="E12" s="41" t="s">
        <v>192</v>
      </c>
    </row>
    <row r="13" spans="1:6" ht="15.75">
      <c r="A13" s="41" t="s">
        <v>238</v>
      </c>
      <c r="F13" s="47"/>
    </row>
    <row r="14" spans="2:6" ht="16.5">
      <c r="B14" s="41" t="s">
        <v>114</v>
      </c>
      <c r="E14" s="46">
        <f>F4/(D12-1.1*F6*D7)</f>
        <v>2.5860282371227497</v>
      </c>
      <c r="F14" s="41" t="s">
        <v>194</v>
      </c>
    </row>
    <row r="15" ht="15.75">
      <c r="A15" s="41" t="s">
        <v>243</v>
      </c>
    </row>
    <row r="16" spans="2:5" ht="15.75">
      <c r="B16" s="41" t="s">
        <v>532</v>
      </c>
      <c r="D16" s="46">
        <f>1.1*E14*D7*F6</f>
        <v>11.378524243340099</v>
      </c>
      <c r="E16" s="41" t="s">
        <v>186</v>
      </c>
    </row>
    <row r="17" ht="16.5">
      <c r="A17" s="41" t="s">
        <v>244</v>
      </c>
    </row>
    <row r="18" spans="2:5" ht="16.5">
      <c r="B18" s="41" t="s">
        <v>245</v>
      </c>
      <c r="D18" s="46">
        <f>F4+D16</f>
        <v>253.3785242433401</v>
      </c>
      <c r="E18" s="41" t="s">
        <v>186</v>
      </c>
    </row>
    <row r="19" spans="1:6" ht="15.75">
      <c r="A19" s="42" t="s">
        <v>146</v>
      </c>
      <c r="F19" s="47"/>
    </row>
    <row r="20" spans="2:5" ht="16.5">
      <c r="B20" s="41" t="s">
        <v>246</v>
      </c>
      <c r="D20" s="46">
        <f>1.2*D18/F5</f>
        <v>5.516860239195199</v>
      </c>
      <c r="E20" s="41" t="s">
        <v>247</v>
      </c>
    </row>
    <row r="21" spans="1:4" ht="15.75">
      <c r="A21" s="41" t="s">
        <v>248</v>
      </c>
      <c r="C21" s="185">
        <v>8</v>
      </c>
      <c r="D21" s="41" t="s">
        <v>247</v>
      </c>
    </row>
    <row r="22" spans="1:4" ht="15.75">
      <c r="A22" s="41" t="s">
        <v>103</v>
      </c>
      <c r="C22" s="120">
        <v>3</v>
      </c>
      <c r="D22" s="41" t="s">
        <v>140</v>
      </c>
    </row>
    <row r="23" spans="1:4" ht="15.75">
      <c r="A23" s="41" t="s">
        <v>104</v>
      </c>
      <c r="C23" s="120">
        <v>3</v>
      </c>
      <c r="D23" s="41" t="s">
        <v>141</v>
      </c>
    </row>
    <row r="24" spans="1:4" ht="15.75">
      <c r="A24" s="41" t="s">
        <v>143</v>
      </c>
      <c r="C24" s="187">
        <f>(C22-1)*(3*D9)/100+2*D9/100</f>
        <v>2</v>
      </c>
      <c r="D24" s="41" t="s">
        <v>144</v>
      </c>
    </row>
    <row r="25" spans="1:4" ht="15.75">
      <c r="A25" s="41" t="s">
        <v>142</v>
      </c>
      <c r="C25" s="187">
        <f>(C23-1)*3*D9/100+2*D9/100</f>
        <v>2</v>
      </c>
      <c r="D25" s="41" t="s">
        <v>145</v>
      </c>
    </row>
    <row r="26" ht="16.5">
      <c r="A26" s="41" t="s">
        <v>147</v>
      </c>
    </row>
    <row r="27" spans="2:4" ht="15.75">
      <c r="B27" s="41" t="s">
        <v>240</v>
      </c>
      <c r="C27" s="186">
        <f>IF(C24*C25&gt;E14,C24*C25,"RETEST,OK!")</f>
        <v>4</v>
      </c>
      <c r="D27" s="41"/>
    </row>
    <row r="28" ht="15.75">
      <c r="A28" s="41" t="s">
        <v>243</v>
      </c>
    </row>
    <row r="29" spans="2:5" ht="15.75">
      <c r="B29" s="41" t="s">
        <v>317</v>
      </c>
      <c r="D29" s="46">
        <f>1.1*C27*D7*F6</f>
        <v>17.6</v>
      </c>
      <c r="E29" s="41" t="s">
        <v>186</v>
      </c>
    </row>
    <row r="30" ht="16.5">
      <c r="A30" s="41" t="s">
        <v>244</v>
      </c>
    </row>
    <row r="31" spans="2:5" ht="16.5">
      <c r="B31" s="41" t="s">
        <v>253</v>
      </c>
      <c r="D31" s="46">
        <f>F4+D29</f>
        <v>259.6</v>
      </c>
      <c r="E31" s="41" t="s">
        <v>186</v>
      </c>
    </row>
    <row r="32" ht="16.5">
      <c r="A32" s="41" t="s">
        <v>254</v>
      </c>
    </row>
    <row r="33" spans="2:4" ht="16.5">
      <c r="B33" s="41" t="s">
        <v>33</v>
      </c>
      <c r="C33" s="126">
        <v>33</v>
      </c>
      <c r="D33" s="41" t="s">
        <v>630</v>
      </c>
    </row>
    <row r="34" spans="2:4" ht="16.5">
      <c r="B34" s="41" t="s">
        <v>32</v>
      </c>
      <c r="C34" s="126">
        <v>2.8</v>
      </c>
      <c r="D34" s="41" t="s">
        <v>630</v>
      </c>
    </row>
    <row r="35" ht="15.75">
      <c r="A35" s="42" t="s">
        <v>255</v>
      </c>
    </row>
    <row r="36" ht="15.75">
      <c r="A36" s="41" t="s">
        <v>256</v>
      </c>
    </row>
    <row r="37" ht="16.5">
      <c r="A37" s="41" t="s">
        <v>34</v>
      </c>
    </row>
    <row r="38" ht="16.5">
      <c r="A38" s="41" t="s">
        <v>35</v>
      </c>
    </row>
    <row r="39" ht="15.75">
      <c r="A39" s="41" t="s">
        <v>188</v>
      </c>
    </row>
    <row r="40" spans="2:4" ht="16.5">
      <c r="B40" s="45" t="s">
        <v>148</v>
      </c>
      <c r="C40" s="194">
        <f>(C22-1)*3*D9/100/2</f>
        <v>0.75</v>
      </c>
      <c r="D40" s="41" t="s">
        <v>62</v>
      </c>
    </row>
    <row r="41" spans="2:4" ht="16.5">
      <c r="B41" s="41" t="s">
        <v>149</v>
      </c>
      <c r="C41" s="194">
        <f>(C23-1)*3*D9/100/2</f>
        <v>0.75</v>
      </c>
      <c r="D41" s="41" t="s">
        <v>63</v>
      </c>
    </row>
    <row r="42" spans="2:4" ht="16.5">
      <c r="B42" s="54" t="s">
        <v>150</v>
      </c>
      <c r="C42" s="127">
        <f>2*0.8*0.8</f>
        <v>1.2800000000000002</v>
      </c>
      <c r="D42" s="41" t="s">
        <v>59</v>
      </c>
    </row>
    <row r="43" spans="2:4" ht="16.5">
      <c r="B43" s="54" t="s">
        <v>151</v>
      </c>
      <c r="C43" s="127">
        <f>2*(0.8*0.8)</f>
        <v>1.2800000000000002</v>
      </c>
      <c r="D43" s="41" t="s">
        <v>60</v>
      </c>
    </row>
    <row r="44" spans="1:4" ht="16.5">
      <c r="A44" s="41" t="s">
        <v>193</v>
      </c>
      <c r="B44" s="42" t="s">
        <v>257</v>
      </c>
      <c r="C44" s="48">
        <f>IF(C43&gt;0,D31/C21+C33*C40/C42+C34*C41/C43,D31/C21+C33*C40/C42)</f>
        <v>53.4265625</v>
      </c>
      <c r="D44" s="41" t="s">
        <v>186</v>
      </c>
    </row>
    <row r="45" spans="2:4" ht="16.5">
      <c r="B45" s="42" t="s">
        <v>258</v>
      </c>
      <c r="C45" s="48">
        <f>IF(C43&gt;0,D31/C21-C33*C40/C42-C34*C41/C43,D31/C21-C33*C40/C42)</f>
        <v>11.473437500000006</v>
      </c>
      <c r="D45" s="41" t="s">
        <v>186</v>
      </c>
    </row>
    <row r="46" spans="1:3" ht="15.75">
      <c r="A46" s="42" t="str">
        <f>IF((C44&lt;=F5)*AND(C45&gt;0),"Keát luaän  :Qttmax  ≤  Qc vaø Qttmin &gt;0.Vaäy ñieàu kieän kieåm tra thoaû maõn","Ta coù :Qttmax  &gt;  Qc .Neân dieàu kieän kieåm tra khoâng thoaû maõn")</f>
        <v>Keát luaän  :Qttmax  ≤  Qc vaø Qttmin &gt;0.Vaäy ñieàu kieän kieåm tra thoaû maõn</v>
      </c>
      <c r="C46" s="42"/>
    </row>
    <row r="47" ht="15.75">
      <c r="A47" s="42" t="s">
        <v>259</v>
      </c>
    </row>
    <row r="48" ht="15.75">
      <c r="A48" s="41" t="s">
        <v>260</v>
      </c>
    </row>
    <row r="49" spans="1:5" ht="15.75">
      <c r="A49" s="62" t="s">
        <v>261</v>
      </c>
      <c r="B49" s="62" t="s">
        <v>278</v>
      </c>
      <c r="C49" s="63" t="s">
        <v>262</v>
      </c>
      <c r="D49" s="62" t="s">
        <v>279</v>
      </c>
      <c r="E49" s="63" t="s">
        <v>280</v>
      </c>
    </row>
    <row r="50" spans="1:5" ht="15.75">
      <c r="A50" s="49">
        <v>2</v>
      </c>
      <c r="B50" s="75">
        <v>8</v>
      </c>
      <c r="C50" s="75">
        <v>17.27</v>
      </c>
      <c r="D50" s="76">
        <f>B50*C50</f>
        <v>138.16</v>
      </c>
      <c r="E50" s="55">
        <f>D54/B54</f>
        <v>17.584</v>
      </c>
    </row>
    <row r="51" spans="1:5" ht="15.75">
      <c r="A51" s="49">
        <v>3</v>
      </c>
      <c r="B51" s="75">
        <v>2</v>
      </c>
      <c r="C51" s="75">
        <v>18.84</v>
      </c>
      <c r="D51" s="76">
        <f>B51*C51</f>
        <v>37.68</v>
      </c>
      <c r="E51" s="52"/>
    </row>
    <row r="52" spans="1:5" ht="15.75">
      <c r="A52" s="49">
        <v>0</v>
      </c>
      <c r="B52" s="75">
        <v>0</v>
      </c>
      <c r="C52" s="75">
        <v>8.589</v>
      </c>
      <c r="D52" s="76">
        <f>B52*C52</f>
        <v>0</v>
      </c>
      <c r="E52" s="52"/>
    </row>
    <row r="53" spans="1:5" ht="15.75">
      <c r="A53" s="49">
        <v>0</v>
      </c>
      <c r="B53" s="75">
        <v>0</v>
      </c>
      <c r="C53" s="75">
        <v>27.991</v>
      </c>
      <c r="D53" s="76">
        <f>B53*C53</f>
        <v>0</v>
      </c>
      <c r="E53" s="52"/>
    </row>
    <row r="54" spans="1:5" ht="15.75">
      <c r="A54" s="49" t="s">
        <v>263</v>
      </c>
      <c r="B54" s="82">
        <f>SUM(B50:B53)</f>
        <v>10</v>
      </c>
      <c r="C54" s="49"/>
      <c r="D54" s="76">
        <f>SUM(D50:D53)</f>
        <v>175.84</v>
      </c>
      <c r="E54" s="53"/>
    </row>
    <row r="55" spans="1:7" ht="15.75">
      <c r="A55" s="42" t="s">
        <v>266</v>
      </c>
      <c r="B55" s="56"/>
      <c r="C55" s="56"/>
      <c r="D55" s="77"/>
      <c r="E55" s="56"/>
      <c r="F55" s="57"/>
      <c r="G55" s="58"/>
    </row>
    <row r="56" ht="15.75">
      <c r="A56" s="50" t="s">
        <v>267</v>
      </c>
    </row>
    <row r="57" ht="15.75">
      <c r="A57" s="41" t="s">
        <v>264</v>
      </c>
    </row>
    <row r="58" spans="1:4" ht="16.5">
      <c r="A58" s="54" t="s">
        <v>265</v>
      </c>
      <c r="B58" s="46">
        <f>E50/4</f>
        <v>4.396</v>
      </c>
      <c r="C58" s="41" t="s">
        <v>214</v>
      </c>
      <c r="D58" s="46"/>
    </row>
    <row r="59" ht="15.75">
      <c r="A59" s="41" t="s">
        <v>268</v>
      </c>
    </row>
    <row r="60" spans="1:5" ht="15.75">
      <c r="A60" s="45" t="s">
        <v>269</v>
      </c>
      <c r="D60" s="48">
        <f>(C61-D9/100)+2*D8*TAN(B58*3.142/180)</f>
        <v>3.287711749121436</v>
      </c>
      <c r="E60" s="41" t="s">
        <v>187</v>
      </c>
    </row>
    <row r="61" spans="1:4" ht="15.75">
      <c r="A61" s="41" t="s">
        <v>271</v>
      </c>
      <c r="C61" s="184">
        <f>C24</f>
        <v>2</v>
      </c>
      <c r="D61" s="41" t="s">
        <v>272</v>
      </c>
    </row>
    <row r="62" ht="15.75">
      <c r="A62" s="41" t="s">
        <v>273</v>
      </c>
    </row>
    <row r="63" spans="1:5" ht="15.75">
      <c r="A63" s="41" t="s">
        <v>274</v>
      </c>
      <c r="D63" s="48">
        <f>(C64-D9/100)+2*D8*TAN(B58*3.142/180)</f>
        <v>3.287711749121436</v>
      </c>
      <c r="E63" s="41" t="s">
        <v>187</v>
      </c>
    </row>
    <row r="64" spans="1:4" ht="15.75">
      <c r="A64" s="41" t="s">
        <v>275</v>
      </c>
      <c r="C64" s="185">
        <f>C25</f>
        <v>2</v>
      </c>
      <c r="D64" s="41" t="s">
        <v>272</v>
      </c>
    </row>
    <row r="65" ht="15.75">
      <c r="A65" s="41" t="s">
        <v>276</v>
      </c>
    </row>
    <row r="66" spans="1:4" ht="16.5">
      <c r="A66" s="47" t="s">
        <v>277</v>
      </c>
      <c r="B66" s="48">
        <f>D60*D63</f>
        <v>10.80904854531113</v>
      </c>
      <c r="C66" s="41" t="s">
        <v>194</v>
      </c>
      <c r="D66" s="48"/>
    </row>
    <row r="67" ht="15.75">
      <c r="A67" s="41" t="s">
        <v>281</v>
      </c>
    </row>
    <row r="68" spans="1:5" ht="16.5">
      <c r="A68" s="99" t="s">
        <v>261</v>
      </c>
      <c r="B68" s="99" t="s">
        <v>278</v>
      </c>
      <c r="C68" s="114" t="s">
        <v>283</v>
      </c>
      <c r="D68" s="99" t="s">
        <v>307</v>
      </c>
      <c r="E68" s="99" t="s">
        <v>282</v>
      </c>
    </row>
    <row r="69" spans="1:5" ht="14.25">
      <c r="A69" s="128">
        <v>1</v>
      </c>
      <c r="B69" s="129">
        <v>3</v>
      </c>
      <c r="C69" s="129">
        <v>2</v>
      </c>
      <c r="D69" s="36">
        <f>B69*C69</f>
        <v>6</v>
      </c>
      <c r="E69" s="130">
        <f>($B$66)*B69*C69</f>
        <v>64.85429127186678</v>
      </c>
    </row>
    <row r="70" spans="1:5" ht="14.25">
      <c r="A70" s="128">
        <v>2</v>
      </c>
      <c r="B70" s="129">
        <v>8</v>
      </c>
      <c r="C70" s="128">
        <v>1.967</v>
      </c>
      <c r="D70" s="36">
        <f>B70*C70</f>
        <v>15.736</v>
      </c>
      <c r="E70" s="130">
        <f>($B$66-$C$21*($D$9/100)^2)*B70*C70</f>
        <v>162.22318790901596</v>
      </c>
    </row>
    <row r="71" spans="1:5" ht="14.25">
      <c r="A71" s="128">
        <v>3</v>
      </c>
      <c r="B71" s="129">
        <v>2</v>
      </c>
      <c r="C71" s="128">
        <v>2.005</v>
      </c>
      <c r="D71" s="36">
        <f>B71*C71</f>
        <v>4.01</v>
      </c>
      <c r="E71" s="130">
        <f>($B$66-$C$21*($D$9/100)^2)*B71*C71</f>
        <v>41.33928466669763</v>
      </c>
    </row>
    <row r="72" spans="1:5" ht="14.25">
      <c r="A72" s="128">
        <v>0</v>
      </c>
      <c r="B72" s="129">
        <v>0</v>
      </c>
      <c r="C72" s="128">
        <v>0.862</v>
      </c>
      <c r="D72" s="36">
        <f>B72*C72</f>
        <v>0</v>
      </c>
      <c r="E72" s="130">
        <f>($B$66-$C$21*($D$9/100)^2)*B72*C72</f>
        <v>0</v>
      </c>
    </row>
    <row r="73" spans="1:5" ht="14.25">
      <c r="A73" s="128">
        <v>0</v>
      </c>
      <c r="B73" s="129">
        <v>0</v>
      </c>
      <c r="C73" s="128">
        <v>0.876</v>
      </c>
      <c r="D73" s="36">
        <f>B73*C73</f>
        <v>0</v>
      </c>
      <c r="E73" s="130">
        <f>($B$66-$C$21*($D$9/100)^2)*B73*C73</f>
        <v>0</v>
      </c>
    </row>
    <row r="74" spans="1:5" ht="15.75">
      <c r="A74" s="36" t="s">
        <v>263</v>
      </c>
      <c r="B74" s="40"/>
      <c r="C74" s="40"/>
      <c r="D74" s="101">
        <f>SUM(D69:D73)</f>
        <v>25.746000000000002</v>
      </c>
      <c r="E74" s="101">
        <f>SUM(E69:E73)</f>
        <v>268.41676384758034</v>
      </c>
    </row>
    <row r="75" spans="1:6" ht="15.75">
      <c r="A75" s="42" t="s">
        <v>266</v>
      </c>
      <c r="B75" s="56"/>
      <c r="C75" s="56"/>
      <c r="D75" s="77"/>
      <c r="E75" s="56"/>
      <c r="F75" s="57"/>
    </row>
    <row r="76" ht="15.75">
      <c r="A76" s="50" t="s">
        <v>284</v>
      </c>
    </row>
    <row r="77" ht="16.5">
      <c r="A77" s="50" t="s">
        <v>285</v>
      </c>
    </row>
    <row r="78" ht="15.75">
      <c r="A78" s="41" t="s">
        <v>286</v>
      </c>
    </row>
    <row r="79" spans="1:3" ht="15.75">
      <c r="A79" s="47" t="s">
        <v>287</v>
      </c>
      <c r="B79" s="60">
        <f>C21*D8*2.5*(D9/100)^2</f>
        <v>12.5</v>
      </c>
      <c r="C79" s="41" t="s">
        <v>186</v>
      </c>
    </row>
    <row r="80" ht="15.75">
      <c r="A80" s="41" t="s">
        <v>288</v>
      </c>
    </row>
    <row r="81" spans="1:3" ht="15.75">
      <c r="A81" s="47" t="s">
        <v>289</v>
      </c>
      <c r="B81" s="61">
        <f>+E74+B79</f>
        <v>280.91676384758034</v>
      </c>
      <c r="C81" s="41" t="s">
        <v>186</v>
      </c>
    </row>
    <row r="82" ht="15.75">
      <c r="A82" s="41" t="s">
        <v>291</v>
      </c>
    </row>
    <row r="83" spans="1:3" ht="16.5">
      <c r="A83" s="47" t="s">
        <v>290</v>
      </c>
      <c r="B83" s="66">
        <f>+B81+F4/1.15</f>
        <v>491.35154645627597</v>
      </c>
      <c r="C83" s="41" t="s">
        <v>186</v>
      </c>
    </row>
    <row r="84" ht="15.75">
      <c r="A84" s="41" t="s">
        <v>292</v>
      </c>
    </row>
    <row r="85" ht="16.5">
      <c r="A85" s="45" t="s">
        <v>293</v>
      </c>
    </row>
    <row r="86" spans="1:3" ht="16.5">
      <c r="A86" s="45" t="s">
        <v>294</v>
      </c>
      <c r="B86" s="131">
        <v>169</v>
      </c>
      <c r="C86" s="41" t="s">
        <v>295</v>
      </c>
    </row>
    <row r="87" ht="15.75">
      <c r="A87" s="41" t="s">
        <v>296</v>
      </c>
    </row>
    <row r="88" spans="1:3" ht="15.75">
      <c r="A88" s="47" t="s">
        <v>297</v>
      </c>
      <c r="B88" s="48">
        <f>+B86/B83</f>
        <v>0.34394925836473145</v>
      </c>
      <c r="C88" s="41" t="s">
        <v>187</v>
      </c>
    </row>
    <row r="89" ht="15.75">
      <c r="A89" s="42" t="s">
        <v>298</v>
      </c>
    </row>
    <row r="90" spans="1:3" ht="16.5">
      <c r="A90" s="67" t="s">
        <v>299</v>
      </c>
      <c r="B90" s="48">
        <f>B83/B66*(1+6*B88/D60)</f>
        <v>73.99104021191789</v>
      </c>
      <c r="C90" s="42" t="s">
        <v>300</v>
      </c>
    </row>
    <row r="91" spans="1:3" ht="16.5">
      <c r="A91" s="67" t="s">
        <v>299</v>
      </c>
      <c r="B91" s="48">
        <f>B83/B66*(1-6*B88/D60)</f>
        <v>16.923815873064715</v>
      </c>
      <c r="C91" s="42" t="s">
        <v>300</v>
      </c>
    </row>
    <row r="92" spans="1:3" ht="16.5">
      <c r="A92" s="67" t="s">
        <v>301</v>
      </c>
      <c r="B92" s="48">
        <f>(B90+B91)/2</f>
        <v>45.4574280424913</v>
      </c>
      <c r="C92" s="42" t="s">
        <v>300</v>
      </c>
    </row>
    <row r="93" ht="15.75">
      <c r="A93" s="42" t="s">
        <v>302</v>
      </c>
    </row>
    <row r="94" spans="2:6" ht="12.75">
      <c r="B94" s="233"/>
      <c r="C94" s="56"/>
      <c r="D94" s="77"/>
      <c r="E94" s="233"/>
      <c r="F94" s="233"/>
    </row>
    <row r="95" spans="2:6" ht="12.75">
      <c r="B95" s="233"/>
      <c r="C95" s="56"/>
      <c r="D95" s="77"/>
      <c r="E95" s="233"/>
      <c r="F95" s="233"/>
    </row>
    <row r="96" ht="12.75">
      <c r="A96" s="41" t="s">
        <v>188</v>
      </c>
    </row>
    <row r="97" spans="2:4" ht="15.75">
      <c r="B97" s="41" t="s">
        <v>310</v>
      </c>
      <c r="C97" s="119">
        <v>1.3</v>
      </c>
      <c r="D97" s="43"/>
    </row>
    <row r="98" spans="2:4" ht="15.75">
      <c r="B98" s="41" t="s">
        <v>311</v>
      </c>
      <c r="C98" s="119">
        <v>1.1</v>
      </c>
      <c r="D98" s="43"/>
    </row>
    <row r="99" spans="2:5" ht="15.75">
      <c r="B99" s="45" t="s">
        <v>312</v>
      </c>
      <c r="C99" s="119">
        <v>1</v>
      </c>
      <c r="D99" s="43"/>
      <c r="E99" s="41" t="s">
        <v>189</v>
      </c>
    </row>
    <row r="100" spans="2:4" ht="16.5">
      <c r="B100" s="68" t="s">
        <v>452</v>
      </c>
      <c r="C100" s="119">
        <v>18.84</v>
      </c>
      <c r="D100" s="69">
        <v>0</v>
      </c>
    </row>
    <row r="101" ht="16.5">
      <c r="B101" s="41" t="s">
        <v>190</v>
      </c>
    </row>
    <row r="102" spans="2:4" ht="15.75">
      <c r="B102" s="41" t="s">
        <v>313</v>
      </c>
      <c r="C102" s="70">
        <f>0.25*3.142/((1/TAN(C100*3.142/180))+(C100*3.142/180)-3.142/2)</f>
        <v>0.4652812636201773</v>
      </c>
      <c r="D102" s="80"/>
    </row>
    <row r="103" spans="2:4" ht="15.75">
      <c r="B103" s="41" t="s">
        <v>314</v>
      </c>
      <c r="C103" s="70">
        <f>1+3.142/((1/TAN(C100*3.142/180))+(C100*3.142/180)-3.142/2)</f>
        <v>2.861125054480709</v>
      </c>
      <c r="D103" s="80"/>
    </row>
    <row r="104" spans="2:4" ht="15.75">
      <c r="B104" s="41" t="s">
        <v>315</v>
      </c>
      <c r="C104" s="70">
        <f>3.142/((1/TAN(C100*3.142/180))+(C100*3.142/180)-3.142/2)/TAN(C100*3.142/180)</f>
        <v>5.453772912172523</v>
      </c>
      <c r="D104" s="80"/>
    </row>
    <row r="105" ht="15.75">
      <c r="B105" s="41" t="s">
        <v>303</v>
      </c>
    </row>
    <row r="106" spans="2:5" ht="15.75">
      <c r="B106" s="41" t="s">
        <v>304</v>
      </c>
      <c r="C106" s="48">
        <f>D63</f>
        <v>3.287711749121436</v>
      </c>
      <c r="D106" s="81"/>
      <c r="E106" s="41" t="s">
        <v>187</v>
      </c>
    </row>
    <row r="107" spans="2:4" ht="15.75">
      <c r="B107" s="41" t="s">
        <v>305</v>
      </c>
      <c r="C107" s="72"/>
      <c r="D107" s="81"/>
    </row>
    <row r="108" spans="2:5" ht="16.5">
      <c r="B108" s="54" t="s">
        <v>306</v>
      </c>
      <c r="D108" s="119">
        <v>0.876</v>
      </c>
      <c r="E108" s="41" t="s">
        <v>191</v>
      </c>
    </row>
    <row r="109" spans="2:5" ht="16.5">
      <c r="B109" s="54" t="s">
        <v>174</v>
      </c>
      <c r="D109" s="61">
        <f>D74</f>
        <v>25.746000000000002</v>
      </c>
      <c r="E109" s="41" t="s">
        <v>191</v>
      </c>
    </row>
    <row r="110" spans="2:5" ht="16.5">
      <c r="B110" s="41" t="s">
        <v>308</v>
      </c>
      <c r="D110" s="119">
        <v>0.283</v>
      </c>
      <c r="E110" s="41" t="s">
        <v>192</v>
      </c>
    </row>
    <row r="111" spans="2:5" ht="16.5">
      <c r="B111" s="42" t="s">
        <v>309</v>
      </c>
      <c r="C111" s="48">
        <f>(C97*C98/C99)*(C102*C106*D108+C103*D109+C104*D110)</f>
        <v>109.46073701405857</v>
      </c>
      <c r="D111" s="71"/>
      <c r="E111" s="41" t="s">
        <v>192</v>
      </c>
    </row>
    <row r="112" spans="1:2" ht="15.75">
      <c r="A112" s="74" t="s">
        <v>316</v>
      </c>
      <c r="B112" s="73" t="str">
        <f>IF((B90&lt;=C111*1.2)*AND(B91&gt;=0)*AND(B92&lt;=C111),"Thoaû maõn","Khoâng thoaû maõn")</f>
        <v>Thoaû maõn</v>
      </c>
    </row>
  </sheetData>
  <mergeCells count="2">
    <mergeCell ref="B94:B95"/>
    <mergeCell ref="E94:F95"/>
  </mergeCells>
  <printOptions/>
  <pageMargins left="0.94" right="0.57" top="0.43" bottom="0.55" header="0.25" footer="0.25"/>
  <pageSetup horizontalDpi="600" verticalDpi="600" orientation="portrait" paperSize="9" r:id="rId3"/>
  <headerFooter alignWithMargins="0">
    <oddFooter>&amp;L&amp;"VNI-Times,Normal"THIEÁT KEÁ:KS. NGUYEÃN TRAÀN KHOA</oddFooter>
  </headerFooter>
  <legacyDrawing r:id="rId2"/>
  <oleObjects>
    <oleObject progId="Equation.3" shapeId="555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F30" sqref="F30"/>
    </sheetView>
  </sheetViews>
  <sheetFormatPr defaultColWidth="9.140625" defaultRowHeight="12.75"/>
  <cols>
    <col min="1" max="16384" width="9.140625" style="1" customWidth="1"/>
  </cols>
  <sheetData>
    <row r="1" spans="1:5" ht="14.25">
      <c r="A1" s="234" t="s">
        <v>55</v>
      </c>
      <c r="B1" s="234"/>
      <c r="C1" s="234"/>
      <c r="D1" s="234"/>
      <c r="E1" s="198"/>
    </row>
    <row r="2" spans="1:4" ht="14.25">
      <c r="A2" s="1" t="s">
        <v>48</v>
      </c>
      <c r="B2" s="1" t="s">
        <v>49</v>
      </c>
      <c r="C2" s="1" t="s">
        <v>50</v>
      </c>
      <c r="D2" s="1" t="s">
        <v>51</v>
      </c>
    </row>
    <row r="3" spans="1:4" ht="14.25">
      <c r="A3" s="1" t="s">
        <v>46</v>
      </c>
      <c r="B3" s="1">
        <v>1</v>
      </c>
      <c r="C3" s="1">
        <v>1</v>
      </c>
      <c r="D3" s="1">
        <f>+C3/2</f>
        <v>0.5</v>
      </c>
    </row>
    <row r="4" spans="2:4" ht="14.25">
      <c r="B4" s="1">
        <v>2</v>
      </c>
      <c r="C4" s="1">
        <v>2</v>
      </c>
      <c r="D4" s="1">
        <f aca="true" t="shared" si="0" ref="D4:D16">+D3+(C3+C4)/2</f>
        <v>2</v>
      </c>
    </row>
    <row r="5" spans="2:4" ht="14.25">
      <c r="B5" s="1">
        <v>3</v>
      </c>
      <c r="C5" s="1">
        <v>2</v>
      </c>
      <c r="D5" s="1">
        <f t="shared" si="0"/>
        <v>4</v>
      </c>
    </row>
    <row r="6" spans="2:4" ht="14.25">
      <c r="B6" s="1">
        <v>4</v>
      </c>
      <c r="C6" s="1">
        <v>2</v>
      </c>
      <c r="D6" s="1">
        <f t="shared" si="0"/>
        <v>6</v>
      </c>
    </row>
    <row r="7" spans="2:8" ht="14.25">
      <c r="B7" s="1">
        <v>5</v>
      </c>
      <c r="C7" s="1">
        <v>2</v>
      </c>
      <c r="D7" s="1">
        <f t="shared" si="0"/>
        <v>8</v>
      </c>
      <c r="H7" s="1" t="s">
        <v>53</v>
      </c>
    </row>
    <row r="8" spans="2:4" ht="14.25">
      <c r="B8" s="1">
        <v>6</v>
      </c>
      <c r="C8" s="1">
        <v>2</v>
      </c>
      <c r="D8" s="1">
        <f t="shared" si="0"/>
        <v>10</v>
      </c>
    </row>
    <row r="9" spans="2:4" ht="14.25">
      <c r="B9" s="1">
        <v>7</v>
      </c>
      <c r="C9" s="1">
        <v>2</v>
      </c>
      <c r="D9" s="1">
        <f t="shared" si="0"/>
        <v>12</v>
      </c>
    </row>
    <row r="10" spans="2:4" ht="14.25">
      <c r="B10" s="1">
        <v>8</v>
      </c>
      <c r="C10" s="1">
        <v>2</v>
      </c>
      <c r="D10" s="1">
        <f t="shared" si="0"/>
        <v>14</v>
      </c>
    </row>
    <row r="11" spans="2:4" ht="14.25">
      <c r="B11" s="1">
        <v>9</v>
      </c>
      <c r="C11" s="1">
        <v>2</v>
      </c>
      <c r="D11" s="1">
        <f t="shared" si="0"/>
        <v>16</v>
      </c>
    </row>
    <row r="12" spans="2:4" ht="14.25">
      <c r="B12" s="1">
        <v>10</v>
      </c>
      <c r="C12" s="1">
        <v>2</v>
      </c>
      <c r="D12" s="1">
        <f t="shared" si="0"/>
        <v>18</v>
      </c>
    </row>
    <row r="13" spans="2:4" ht="14.25">
      <c r="B13" s="1">
        <v>11</v>
      </c>
      <c r="C13" s="1">
        <v>0.3</v>
      </c>
      <c r="D13" s="1">
        <f t="shared" si="0"/>
        <v>19.15</v>
      </c>
    </row>
    <row r="14" spans="1:4" ht="14.25">
      <c r="A14" s="1" t="s">
        <v>47</v>
      </c>
      <c r="B14" s="1">
        <v>12</v>
      </c>
      <c r="C14" s="1">
        <v>1.4</v>
      </c>
      <c r="D14" s="1">
        <f t="shared" si="0"/>
        <v>20</v>
      </c>
    </row>
    <row r="15" spans="2:4" ht="14.25">
      <c r="B15" s="1">
        <v>13</v>
      </c>
      <c r="C15" s="1">
        <v>2</v>
      </c>
      <c r="D15" s="1">
        <f t="shared" si="0"/>
        <v>21.7</v>
      </c>
    </row>
    <row r="16" spans="2:4" ht="14.25">
      <c r="B16" s="1">
        <v>14</v>
      </c>
      <c r="C16" s="1">
        <v>1.1</v>
      </c>
      <c r="D16" s="1">
        <f t="shared" si="0"/>
        <v>23.25</v>
      </c>
    </row>
    <row r="17" spans="1:4" ht="14.25">
      <c r="A17" s="1" t="s">
        <v>52</v>
      </c>
      <c r="B17" s="1">
        <v>15</v>
      </c>
      <c r="C17" s="1">
        <v>1.4</v>
      </c>
      <c r="D17" s="1">
        <f aca="true" t="shared" si="1" ref="D17:D24">+D16+(C16+C17)/2</f>
        <v>24.5</v>
      </c>
    </row>
    <row r="18" spans="2:4" ht="14.25">
      <c r="B18" s="1">
        <v>16</v>
      </c>
      <c r="C18" s="1">
        <v>1.6</v>
      </c>
      <c r="D18" s="1">
        <f t="shared" si="1"/>
        <v>26</v>
      </c>
    </row>
    <row r="19" spans="2:4" ht="14.25">
      <c r="B19" s="1">
        <v>17</v>
      </c>
      <c r="C19" s="1">
        <v>1.8</v>
      </c>
      <c r="D19" s="1">
        <f t="shared" si="1"/>
        <v>27.7</v>
      </c>
    </row>
    <row r="20" spans="2:4" ht="14.25">
      <c r="B20" s="1">
        <v>18</v>
      </c>
      <c r="C20" s="1">
        <v>2</v>
      </c>
      <c r="D20" s="1">
        <f t="shared" si="1"/>
        <v>29.599999999999998</v>
      </c>
    </row>
    <row r="21" spans="2:4" ht="14.25">
      <c r="B21" s="1">
        <v>19</v>
      </c>
      <c r="C21" s="1">
        <v>2</v>
      </c>
      <c r="D21" s="1">
        <f t="shared" si="1"/>
        <v>31.599999999999998</v>
      </c>
    </row>
    <row r="22" spans="2:4" ht="14.25">
      <c r="B22" s="1">
        <v>20</v>
      </c>
      <c r="C22" s="1">
        <v>1.1</v>
      </c>
      <c r="D22" s="1">
        <f t="shared" si="1"/>
        <v>33.15</v>
      </c>
    </row>
    <row r="23" spans="1:4" ht="14.25">
      <c r="A23" s="1" t="s">
        <v>54</v>
      </c>
      <c r="B23" s="1">
        <v>21</v>
      </c>
      <c r="C23" s="1">
        <v>0.6</v>
      </c>
      <c r="D23" s="1">
        <f t="shared" si="1"/>
        <v>34</v>
      </c>
    </row>
    <row r="24" spans="2:4" ht="14.25">
      <c r="B24" s="1">
        <v>22</v>
      </c>
      <c r="C24" s="1">
        <v>1.7</v>
      </c>
      <c r="D24" s="1">
        <f t="shared" si="1"/>
        <v>35.15</v>
      </c>
    </row>
    <row r="26" spans="1:5" ht="14.25">
      <c r="A26" s="234" t="s">
        <v>57</v>
      </c>
      <c r="B26" s="234"/>
      <c r="C26" s="234"/>
      <c r="D26" s="234"/>
      <c r="E26" s="198"/>
    </row>
    <row r="27" spans="1:4" ht="14.25">
      <c r="A27" s="199" t="s">
        <v>48</v>
      </c>
      <c r="B27" s="199" t="s">
        <v>49</v>
      </c>
      <c r="C27" s="199" t="s">
        <v>50</v>
      </c>
      <c r="D27" s="199" t="s">
        <v>51</v>
      </c>
    </row>
    <row r="28" spans="1:4" ht="14.25">
      <c r="A28" s="9" t="s">
        <v>46</v>
      </c>
      <c r="B28" s="9">
        <v>1</v>
      </c>
      <c r="C28" s="9">
        <v>1</v>
      </c>
      <c r="D28" s="9">
        <f>+C28/2</f>
        <v>0.5</v>
      </c>
    </row>
    <row r="29" spans="1:4" ht="14.25">
      <c r="A29" s="9"/>
      <c r="B29" s="9">
        <v>2</v>
      </c>
      <c r="C29" s="9">
        <v>2</v>
      </c>
      <c r="D29" s="9">
        <f aca="true" t="shared" si="2" ref="D29:D41">+D28+(C28+C29)/2</f>
        <v>2</v>
      </c>
    </row>
    <row r="30" spans="1:4" ht="14.25">
      <c r="A30" s="9"/>
      <c r="B30" s="9">
        <v>3</v>
      </c>
      <c r="C30" s="9">
        <v>2</v>
      </c>
      <c r="D30" s="9">
        <f t="shared" si="2"/>
        <v>4</v>
      </c>
    </row>
    <row r="31" spans="1:4" ht="14.25">
      <c r="A31" s="9"/>
      <c r="B31" s="9">
        <v>4</v>
      </c>
      <c r="C31" s="9">
        <v>2</v>
      </c>
      <c r="D31" s="9">
        <f t="shared" si="2"/>
        <v>6</v>
      </c>
    </row>
    <row r="32" spans="1:4" ht="14.25">
      <c r="A32" s="9"/>
      <c r="B32" s="9">
        <v>5</v>
      </c>
      <c r="C32" s="9">
        <v>2</v>
      </c>
      <c r="D32" s="9">
        <f t="shared" si="2"/>
        <v>8</v>
      </c>
    </row>
    <row r="33" spans="1:4" ht="14.25">
      <c r="A33" s="9"/>
      <c r="B33" s="9">
        <v>6</v>
      </c>
      <c r="C33" s="9">
        <v>2</v>
      </c>
      <c r="D33" s="9">
        <f t="shared" si="2"/>
        <v>10</v>
      </c>
    </row>
    <row r="34" spans="1:4" ht="14.25">
      <c r="A34" s="9"/>
      <c r="B34" s="9">
        <v>7</v>
      </c>
      <c r="C34" s="9">
        <v>2</v>
      </c>
      <c r="D34" s="9">
        <f t="shared" si="2"/>
        <v>12</v>
      </c>
    </row>
    <row r="35" spans="1:4" ht="14.25">
      <c r="A35" s="9"/>
      <c r="B35" s="9">
        <v>8</v>
      </c>
      <c r="C35" s="9">
        <v>2</v>
      </c>
      <c r="D35" s="9">
        <f t="shared" si="2"/>
        <v>14</v>
      </c>
    </row>
    <row r="36" spans="1:4" ht="14.25">
      <c r="A36" s="9"/>
      <c r="B36" s="9">
        <v>9</v>
      </c>
      <c r="C36" s="9">
        <v>2</v>
      </c>
      <c r="D36" s="9">
        <f t="shared" si="2"/>
        <v>16</v>
      </c>
    </row>
    <row r="37" spans="1:4" ht="14.25">
      <c r="A37" s="9"/>
      <c r="B37" s="9">
        <v>10</v>
      </c>
      <c r="C37" s="9">
        <v>2</v>
      </c>
      <c r="D37" s="9">
        <f t="shared" si="2"/>
        <v>18</v>
      </c>
    </row>
    <row r="38" spans="1:4" ht="14.25">
      <c r="A38" s="9"/>
      <c r="B38" s="9">
        <v>11</v>
      </c>
      <c r="C38" s="9">
        <v>0.3</v>
      </c>
      <c r="D38" s="9">
        <f t="shared" si="2"/>
        <v>19.15</v>
      </c>
    </row>
    <row r="39" spans="1:4" ht="14.25">
      <c r="A39" s="9" t="s">
        <v>47</v>
      </c>
      <c r="B39" s="9">
        <v>1</v>
      </c>
      <c r="C39" s="9">
        <v>1.4</v>
      </c>
      <c r="D39" s="9">
        <f t="shared" si="2"/>
        <v>20</v>
      </c>
    </row>
    <row r="40" spans="1:4" ht="14.25">
      <c r="A40" s="9"/>
      <c r="B40" s="9">
        <v>2</v>
      </c>
      <c r="C40" s="9">
        <v>2</v>
      </c>
      <c r="D40" s="9">
        <f t="shared" si="2"/>
        <v>21.7</v>
      </c>
    </row>
    <row r="41" spans="1:4" ht="14.25">
      <c r="A41" s="9"/>
      <c r="B41" s="9">
        <v>3</v>
      </c>
      <c r="C41" s="9">
        <v>1.1</v>
      </c>
      <c r="D41" s="9">
        <f t="shared" si="2"/>
        <v>23.25</v>
      </c>
    </row>
    <row r="42" spans="1:4" ht="14.25">
      <c r="A42" s="9" t="s">
        <v>52</v>
      </c>
      <c r="B42" s="9">
        <v>1</v>
      </c>
      <c r="C42" s="9">
        <v>1.4</v>
      </c>
      <c r="D42" s="9">
        <f aca="true" t="shared" si="3" ref="D42:D57">+D41+(C41+C42)/2</f>
        <v>24.5</v>
      </c>
    </row>
    <row r="43" spans="1:4" ht="14.25">
      <c r="A43" s="9"/>
      <c r="B43" s="9">
        <v>2</v>
      </c>
      <c r="C43" s="9">
        <v>1.6</v>
      </c>
      <c r="D43" s="9">
        <f t="shared" si="3"/>
        <v>26</v>
      </c>
    </row>
    <row r="44" spans="1:4" ht="14.25">
      <c r="A44" s="9"/>
      <c r="B44" s="9">
        <v>3</v>
      </c>
      <c r="C44" s="9">
        <v>1.8</v>
      </c>
      <c r="D44" s="9">
        <f t="shared" si="3"/>
        <v>27.7</v>
      </c>
    </row>
    <row r="45" spans="1:4" ht="14.25">
      <c r="A45" s="9"/>
      <c r="B45" s="9">
        <v>4</v>
      </c>
      <c r="C45" s="9">
        <v>2</v>
      </c>
      <c r="D45" s="9">
        <f t="shared" si="3"/>
        <v>29.599999999999998</v>
      </c>
    </row>
    <row r="46" spans="1:4" ht="14.25">
      <c r="A46" s="9"/>
      <c r="B46" s="9">
        <v>5</v>
      </c>
      <c r="C46" s="9">
        <v>2</v>
      </c>
      <c r="D46" s="9">
        <f t="shared" si="3"/>
        <v>31.599999999999998</v>
      </c>
    </row>
    <row r="47" spans="1:4" ht="14.25">
      <c r="A47" s="9"/>
      <c r="B47" s="9">
        <v>6</v>
      </c>
      <c r="C47" s="9">
        <v>1.1</v>
      </c>
      <c r="D47" s="9">
        <f t="shared" si="3"/>
        <v>33.15</v>
      </c>
    </row>
    <row r="48" spans="1:4" ht="14.25">
      <c r="A48" s="9" t="s">
        <v>54</v>
      </c>
      <c r="B48" s="9">
        <v>1</v>
      </c>
      <c r="C48" s="9">
        <v>0.8</v>
      </c>
      <c r="D48" s="9">
        <f t="shared" si="3"/>
        <v>34.1</v>
      </c>
    </row>
    <row r="49" spans="1:4" ht="14.25">
      <c r="A49" s="9"/>
      <c r="B49" s="9">
        <v>2</v>
      </c>
      <c r="C49" s="9">
        <v>2</v>
      </c>
      <c r="D49" s="9">
        <f t="shared" si="3"/>
        <v>35.5</v>
      </c>
    </row>
    <row r="50" spans="1:4" ht="14.25">
      <c r="A50" s="9"/>
      <c r="B50" s="9">
        <v>3</v>
      </c>
      <c r="C50" s="9">
        <v>2</v>
      </c>
      <c r="D50" s="9">
        <f t="shared" si="3"/>
        <v>37.5</v>
      </c>
    </row>
    <row r="51" spans="1:4" ht="14.25">
      <c r="A51" s="9"/>
      <c r="B51" s="9">
        <v>4</v>
      </c>
      <c r="C51" s="9">
        <v>2</v>
      </c>
      <c r="D51" s="9">
        <f t="shared" si="3"/>
        <v>39.5</v>
      </c>
    </row>
    <row r="52" spans="1:4" ht="14.25">
      <c r="A52" s="9"/>
      <c r="B52" s="9">
        <v>5</v>
      </c>
      <c r="C52" s="9">
        <v>2</v>
      </c>
      <c r="D52" s="9">
        <f t="shared" si="3"/>
        <v>41.5</v>
      </c>
    </row>
    <row r="53" spans="1:4" ht="14.25">
      <c r="A53" s="9"/>
      <c r="B53" s="9">
        <v>6</v>
      </c>
      <c r="C53" s="9">
        <v>2</v>
      </c>
      <c r="D53" s="9">
        <f t="shared" si="3"/>
        <v>43.5</v>
      </c>
    </row>
    <row r="54" spans="1:4" ht="14.25">
      <c r="A54" s="9"/>
      <c r="B54" s="9">
        <v>7</v>
      </c>
      <c r="C54" s="9">
        <v>2</v>
      </c>
      <c r="D54" s="9">
        <f t="shared" si="3"/>
        <v>45.5</v>
      </c>
    </row>
    <row r="55" spans="1:4" ht="14.25">
      <c r="A55" s="9"/>
      <c r="B55" s="9">
        <v>8</v>
      </c>
      <c r="C55" s="9">
        <v>0.4</v>
      </c>
      <c r="D55" s="9">
        <f t="shared" si="3"/>
        <v>46.7</v>
      </c>
    </row>
    <row r="56" spans="1:4" ht="14.25">
      <c r="A56" s="9" t="s">
        <v>56</v>
      </c>
      <c r="B56" s="9">
        <v>1</v>
      </c>
      <c r="C56" s="9">
        <v>0.1</v>
      </c>
      <c r="D56" s="9">
        <f t="shared" si="3"/>
        <v>46.95</v>
      </c>
    </row>
    <row r="57" spans="1:4" ht="14.25">
      <c r="A57" s="9"/>
      <c r="B57" s="9">
        <v>2</v>
      </c>
      <c r="C57" s="9">
        <v>2</v>
      </c>
      <c r="D57" s="9">
        <f t="shared" si="3"/>
        <v>48</v>
      </c>
    </row>
    <row r="59" spans="1:4" ht="14.25">
      <c r="A59" s="234" t="s">
        <v>58</v>
      </c>
      <c r="B59" s="234"/>
      <c r="C59" s="234"/>
      <c r="D59" s="234"/>
    </row>
    <row r="60" spans="1:4" ht="14.25">
      <c r="A60" s="199" t="s">
        <v>48</v>
      </c>
      <c r="B60" s="199" t="s">
        <v>49</v>
      </c>
      <c r="C60" s="199" t="s">
        <v>50</v>
      </c>
      <c r="D60" s="199" t="s">
        <v>51</v>
      </c>
    </row>
    <row r="61" spans="1:4" ht="14.25">
      <c r="A61" s="9" t="s">
        <v>46</v>
      </c>
      <c r="B61" s="9">
        <v>1</v>
      </c>
      <c r="C61" s="9">
        <v>1</v>
      </c>
      <c r="D61" s="9">
        <f>+C61/2</f>
        <v>0.5</v>
      </c>
    </row>
    <row r="62" spans="1:4" ht="14.25">
      <c r="A62" s="9"/>
      <c r="B62" s="9">
        <v>2</v>
      </c>
      <c r="C62" s="9">
        <v>2</v>
      </c>
      <c r="D62" s="9">
        <f aca="true" t="shared" si="4" ref="D62:D72">+D61+(C61+C62)/2</f>
        <v>2</v>
      </c>
    </row>
    <row r="63" spans="1:4" ht="14.25">
      <c r="A63" s="9"/>
      <c r="B63" s="9">
        <v>3</v>
      </c>
      <c r="C63" s="9">
        <v>2</v>
      </c>
      <c r="D63" s="9">
        <f t="shared" si="4"/>
        <v>4</v>
      </c>
    </row>
    <row r="64" spans="1:4" ht="14.25">
      <c r="A64" s="9"/>
      <c r="B64" s="9">
        <v>4</v>
      </c>
      <c r="C64" s="9">
        <v>2</v>
      </c>
      <c r="D64" s="9">
        <f t="shared" si="4"/>
        <v>6</v>
      </c>
    </row>
    <row r="65" spans="1:4" ht="14.25">
      <c r="A65" s="9"/>
      <c r="B65" s="9">
        <v>5</v>
      </c>
      <c r="C65" s="9">
        <v>2</v>
      </c>
      <c r="D65" s="9">
        <f t="shared" si="4"/>
        <v>8</v>
      </c>
    </row>
    <row r="66" spans="1:4" ht="14.25">
      <c r="A66" s="9"/>
      <c r="B66" s="9">
        <v>6</v>
      </c>
      <c r="C66" s="9">
        <v>2</v>
      </c>
      <c r="D66" s="9">
        <f t="shared" si="4"/>
        <v>10</v>
      </c>
    </row>
    <row r="67" spans="1:4" ht="14.25">
      <c r="A67" s="9"/>
      <c r="B67" s="9">
        <v>7</v>
      </c>
      <c r="C67" s="9">
        <v>2</v>
      </c>
      <c r="D67" s="9">
        <f t="shared" si="4"/>
        <v>12</v>
      </c>
    </row>
    <row r="68" spans="1:4" ht="14.25">
      <c r="A68" s="9"/>
      <c r="B68" s="9">
        <v>8</v>
      </c>
      <c r="C68" s="9">
        <v>2</v>
      </c>
      <c r="D68" s="9">
        <f t="shared" si="4"/>
        <v>14</v>
      </c>
    </row>
    <row r="69" spans="1:4" ht="14.25">
      <c r="A69" s="9"/>
      <c r="B69" s="9">
        <v>9</v>
      </c>
      <c r="C69" s="9">
        <v>2</v>
      </c>
      <c r="D69" s="9">
        <f t="shared" si="4"/>
        <v>16</v>
      </c>
    </row>
    <row r="70" spans="1:4" ht="14.25">
      <c r="A70" s="9"/>
      <c r="B70" s="9">
        <v>10</v>
      </c>
      <c r="C70" s="9">
        <v>2</v>
      </c>
      <c r="D70" s="9">
        <f t="shared" si="4"/>
        <v>18</v>
      </c>
    </row>
    <row r="71" spans="1:4" ht="14.25">
      <c r="A71" s="9"/>
      <c r="B71" s="9">
        <v>11</v>
      </c>
      <c r="C71" s="9">
        <v>0.3</v>
      </c>
      <c r="D71" s="9">
        <f t="shared" si="4"/>
        <v>19.15</v>
      </c>
    </row>
    <row r="72" spans="1:4" ht="14.25">
      <c r="A72" s="9" t="s">
        <v>47</v>
      </c>
      <c r="B72" s="9">
        <v>1</v>
      </c>
      <c r="C72" s="9">
        <v>1.7</v>
      </c>
      <c r="D72" s="9">
        <f t="shared" si="4"/>
        <v>20.15</v>
      </c>
    </row>
  </sheetData>
  <mergeCells count="3">
    <mergeCell ref="A1:D1"/>
    <mergeCell ref="A26:D26"/>
    <mergeCell ref="A59:D5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0"/>
  <sheetViews>
    <sheetView workbookViewId="0" topLeftCell="A2">
      <selection activeCell="B34" sqref="B34"/>
    </sheetView>
  </sheetViews>
  <sheetFormatPr defaultColWidth="9.140625" defaultRowHeight="12.75"/>
  <cols>
    <col min="1" max="1" width="15.140625" style="1" customWidth="1"/>
    <col min="2" max="2" width="8.00390625" style="1" customWidth="1"/>
    <col min="3" max="3" width="9.140625" style="1" customWidth="1"/>
    <col min="4" max="4" width="8.57421875" style="1" bestFit="1" customWidth="1"/>
    <col min="5" max="5" width="7.8515625" style="1" bestFit="1" customWidth="1"/>
    <col min="6" max="6" width="6.7109375" style="1" customWidth="1"/>
    <col min="7" max="7" width="9.28125" style="1" customWidth="1"/>
    <col min="8" max="8" width="9.7109375" style="1" customWidth="1"/>
    <col min="9" max="9" width="10.8515625" style="1" customWidth="1"/>
    <col min="10" max="10" width="9.140625" style="1" customWidth="1"/>
    <col min="11" max="11" width="11.421875" style="1" bestFit="1" customWidth="1"/>
    <col min="12" max="12" width="24.421875" style="1" hidden="1" customWidth="1"/>
    <col min="13" max="13" width="14.57421875" style="1" bestFit="1" customWidth="1"/>
    <col min="14" max="14" width="12.7109375" style="1" bestFit="1" customWidth="1"/>
    <col min="15" max="15" width="10.8515625" style="1" bestFit="1" customWidth="1"/>
    <col min="16" max="16" width="17.28125" style="1" bestFit="1" customWidth="1"/>
    <col min="17" max="17" width="18.140625" style="1" bestFit="1" customWidth="1"/>
    <col min="18" max="16384" width="9.140625" style="1" customWidth="1"/>
  </cols>
  <sheetData>
    <row r="1" ht="15.75">
      <c r="A1" s="6" t="s">
        <v>367</v>
      </c>
    </row>
    <row r="2" spans="1:3" ht="15.75">
      <c r="A2" s="6" t="s">
        <v>67</v>
      </c>
      <c r="B2" s="171" t="str">
        <f>'MONG COC BTCT'!$D$2</f>
        <v>M1</v>
      </c>
      <c r="C2" s="2"/>
    </row>
    <row r="3" ht="15.75">
      <c r="A3" s="7" t="s">
        <v>364</v>
      </c>
    </row>
    <row r="4" ht="12.75"/>
    <row r="5" ht="12.75"/>
    <row r="6" ht="12.75"/>
    <row r="7" ht="12.75"/>
    <row r="8" ht="14.25">
      <c r="A8" s="1" t="s">
        <v>208</v>
      </c>
    </row>
    <row r="9" spans="1:2" ht="15.75">
      <c r="A9" s="8" t="s">
        <v>370</v>
      </c>
      <c r="B9" s="119">
        <v>300</v>
      </c>
    </row>
    <row r="10" spans="1:3" ht="15.75">
      <c r="A10" s="8" t="s">
        <v>371</v>
      </c>
      <c r="B10" s="94">
        <f>VLOOKUP(B9,VATLIEU!A3:F10,2,0)</f>
        <v>130</v>
      </c>
      <c r="C10" s="1" t="s">
        <v>212</v>
      </c>
    </row>
    <row r="11" spans="1:2" ht="15.75">
      <c r="A11" s="8" t="s">
        <v>220</v>
      </c>
      <c r="B11" s="120" t="s">
        <v>228</v>
      </c>
    </row>
    <row r="12" spans="1:3" ht="15.75">
      <c r="A12" s="8" t="s">
        <v>372</v>
      </c>
      <c r="B12" s="94">
        <f>VLOOKUP(B11,VATLIEU!H3:K9,2,0)</f>
        <v>2600</v>
      </c>
      <c r="C12" s="1" t="s">
        <v>212</v>
      </c>
    </row>
    <row r="13" spans="1:3" ht="15.75">
      <c r="A13" s="92" t="s">
        <v>365</v>
      </c>
      <c r="B13" s="119">
        <v>0.7</v>
      </c>
      <c r="C13" s="1" t="s">
        <v>366</v>
      </c>
    </row>
    <row r="14" spans="1:3" ht="15.75">
      <c r="A14" s="8" t="s">
        <v>368</v>
      </c>
      <c r="B14" s="119">
        <v>25</v>
      </c>
      <c r="C14" s="1" t="s">
        <v>369</v>
      </c>
    </row>
    <row r="15" spans="1:3" ht="15.75">
      <c r="A15" s="8" t="s">
        <v>515</v>
      </c>
      <c r="B15" s="119">
        <v>10</v>
      </c>
      <c r="C15" s="1" t="s">
        <v>76</v>
      </c>
    </row>
    <row r="16" spans="1:2" ht="15.75">
      <c r="A16" s="1" t="s">
        <v>383</v>
      </c>
      <c r="B16" s="119">
        <v>4</v>
      </c>
    </row>
    <row r="17" spans="1:2" ht="15.75">
      <c r="A17" s="1" t="s">
        <v>373</v>
      </c>
      <c r="B17" s="119">
        <v>16</v>
      </c>
    </row>
    <row r="18" spans="1:3" ht="15.75">
      <c r="A18" s="8" t="s">
        <v>374</v>
      </c>
      <c r="B18" s="95">
        <f>B16*(B17/10)^2*3.1415/4</f>
        <v>8.042240000000001</v>
      </c>
      <c r="C18" s="1" t="s">
        <v>328</v>
      </c>
    </row>
    <row r="19" ht="14.25">
      <c r="A19" s="1" t="s">
        <v>209</v>
      </c>
    </row>
    <row r="20" spans="1:3" ht="15.75">
      <c r="A20" s="8" t="s">
        <v>375</v>
      </c>
      <c r="B20" s="96">
        <f>B13*(B10*B14^2+B12*B18)/1000</f>
        <v>71.5118768</v>
      </c>
      <c r="C20" s="1" t="s">
        <v>186</v>
      </c>
    </row>
    <row r="22" ht="15.75">
      <c r="A22" s="7" t="s">
        <v>406</v>
      </c>
    </row>
    <row r="23" ht="14.25">
      <c r="B23" s="97" t="s">
        <v>376</v>
      </c>
    </row>
    <row r="24" ht="12.75">
      <c r="A24" s="1" t="s">
        <v>377</v>
      </c>
    </row>
    <row r="25" ht="12.75"/>
    <row r="26" ht="12.75"/>
    <row r="27" ht="12.75">
      <c r="A27" s="1" t="s">
        <v>208</v>
      </c>
    </row>
    <row r="28" ht="14.25">
      <c r="A28" s="1" t="s">
        <v>378</v>
      </c>
    </row>
    <row r="29" ht="12.75"/>
    <row r="30" ht="12.75"/>
    <row r="31" ht="12.75"/>
    <row r="32" ht="14.25">
      <c r="A32" s="1" t="s">
        <v>387</v>
      </c>
    </row>
    <row r="33" spans="1:2" ht="15.75">
      <c r="A33" s="8" t="s">
        <v>379</v>
      </c>
      <c r="B33" s="120">
        <v>1.65</v>
      </c>
    </row>
    <row r="34" spans="1:3" ht="15.75">
      <c r="A34" s="8" t="s">
        <v>380</v>
      </c>
      <c r="B34" s="120">
        <v>1</v>
      </c>
      <c r="C34" s="1" t="s">
        <v>381</v>
      </c>
    </row>
    <row r="35" ht="14.25">
      <c r="A35" s="113" t="s">
        <v>432</v>
      </c>
    </row>
    <row r="36" ht="12.75"/>
    <row r="37" ht="12.75"/>
    <row r="38" ht="12.75"/>
    <row r="39" spans="1:3" ht="15.75">
      <c r="A39" s="8" t="s">
        <v>382</v>
      </c>
      <c r="B39" s="120">
        <v>1</v>
      </c>
      <c r="C39" s="1" t="s">
        <v>391</v>
      </c>
    </row>
    <row r="40" ht="14.25">
      <c r="A40" s="1" t="s">
        <v>409</v>
      </c>
    </row>
    <row r="41" spans="1:3" ht="15.75">
      <c r="A41" s="8" t="s">
        <v>384</v>
      </c>
      <c r="B41" s="120">
        <v>615</v>
      </c>
      <c r="C41" s="1" t="s">
        <v>385</v>
      </c>
    </row>
    <row r="42" ht="14.25">
      <c r="A42" s="1" t="s">
        <v>388</v>
      </c>
    </row>
    <row r="43" spans="1:3" ht="15.75">
      <c r="A43" s="8" t="s">
        <v>386</v>
      </c>
      <c r="B43" s="96">
        <f>B39*B41*(B14/100)^2</f>
        <v>38.4375</v>
      </c>
      <c r="C43" s="1" t="s">
        <v>186</v>
      </c>
    </row>
    <row r="44" ht="14.25">
      <c r="A44" s="113" t="s">
        <v>431</v>
      </c>
    </row>
    <row r="45" ht="12.75"/>
    <row r="46" ht="12.75"/>
    <row r="47" ht="12.75"/>
    <row r="48" ht="14.25">
      <c r="A48" s="1" t="s">
        <v>208</v>
      </c>
    </row>
    <row r="49" ht="14.25">
      <c r="A49" s="1" t="s">
        <v>389</v>
      </c>
    </row>
    <row r="50" spans="1:3" ht="15.75">
      <c r="A50" s="8" t="s">
        <v>390</v>
      </c>
      <c r="B50" s="197">
        <f>4*B14/100</f>
        <v>1</v>
      </c>
      <c r="C50" s="1" t="s">
        <v>187</v>
      </c>
    </row>
    <row r="51" spans="1:3" ht="15.75">
      <c r="A51" s="8" t="s">
        <v>382</v>
      </c>
      <c r="B51" s="120">
        <v>1</v>
      </c>
      <c r="C51" s="1" t="s">
        <v>392</v>
      </c>
    </row>
    <row r="53" spans="1:10" ht="14.25">
      <c r="A53" s="1" t="s">
        <v>393</v>
      </c>
      <c r="J53" s="93"/>
    </row>
    <row r="54" spans="1:13" ht="14.25">
      <c r="A54" s="1" t="s">
        <v>394</v>
      </c>
      <c r="M54" s="1" t="s">
        <v>45</v>
      </c>
    </row>
    <row r="56" spans="1:17" ht="15.75">
      <c r="A56" s="99" t="s">
        <v>395</v>
      </c>
      <c r="B56" s="99" t="s">
        <v>397</v>
      </c>
      <c r="C56" s="99" t="s">
        <v>70</v>
      </c>
      <c r="D56" s="99" t="s">
        <v>544</v>
      </c>
      <c r="E56" s="99" t="s">
        <v>396</v>
      </c>
      <c r="F56" s="99" t="s">
        <v>398</v>
      </c>
      <c r="K56" s="35" t="s">
        <v>39</v>
      </c>
      <c r="L56" s="35"/>
      <c r="M56" s="35" t="s">
        <v>40</v>
      </c>
      <c r="N56" s="35" t="s">
        <v>41</v>
      </c>
      <c r="O56" s="35" t="s">
        <v>42</v>
      </c>
      <c r="P56" s="35" t="s">
        <v>43</v>
      </c>
      <c r="Q56" s="35" t="s">
        <v>44</v>
      </c>
    </row>
    <row r="57" spans="1:17" ht="15.75">
      <c r="A57" s="36">
        <v>1</v>
      </c>
      <c r="B57" s="121">
        <v>0</v>
      </c>
      <c r="C57" s="200">
        <f>+B57/2</f>
        <v>0</v>
      </c>
      <c r="D57" s="121">
        <v>0.17</v>
      </c>
      <c r="E57" s="115">
        <v>0</v>
      </c>
      <c r="F57" s="101">
        <f aca="true" t="shared" si="0" ref="F57:F68">E57*B57</f>
        <v>0</v>
      </c>
      <c r="K57" s="202">
        <v>10</v>
      </c>
      <c r="L57" s="202"/>
      <c r="M57" s="202">
        <v>1050</v>
      </c>
      <c r="N57" s="202">
        <v>15</v>
      </c>
      <c r="O57" s="202">
        <v>1170</v>
      </c>
      <c r="P57" s="202">
        <v>7</v>
      </c>
      <c r="Q57" s="201">
        <f>IF((K57&lt;P57)*AND(P57&lt;N57),(P57-K57)*(O57-M57)/(N57-K57)+M57,IF(P57&gt;N57,(P57-K57)*(O57-M57)/(N57-K57)+M57,(M57*(N57-P57)-O57*(K57-P57))/(N57-K57)))</f>
        <v>978</v>
      </c>
    </row>
    <row r="58" spans="1:17" ht="15.75">
      <c r="A58" s="36"/>
      <c r="B58" s="121">
        <v>0</v>
      </c>
      <c r="C58" s="200">
        <f>+C57+(B57+B58)/2</f>
        <v>0</v>
      </c>
      <c r="D58" s="121">
        <v>0.17</v>
      </c>
      <c r="E58" s="115">
        <v>0</v>
      </c>
      <c r="F58" s="101">
        <f t="shared" si="0"/>
        <v>0</v>
      </c>
      <c r="K58" s="202">
        <v>15</v>
      </c>
      <c r="L58" s="202"/>
      <c r="M58" s="202">
        <v>400</v>
      </c>
      <c r="N58" s="202">
        <v>20</v>
      </c>
      <c r="O58" s="202">
        <v>450</v>
      </c>
      <c r="P58" s="202">
        <v>19</v>
      </c>
      <c r="Q58" s="201">
        <f aca="true" t="shared" si="1" ref="Q58:Q66">IF((K58&lt;P58)*AND(P58&lt;N58),(P58-K58)*(O58-M58)/(N58-K58)+M58,IF(P58&gt;N58,(P58-K58)*(O58-M58)/(N58-K58)+M58,(M58*(N58-P58)-O58*(K58-P58))/(N58-K58)))</f>
        <v>440</v>
      </c>
    </row>
    <row r="59" spans="1:17" ht="15.75">
      <c r="A59" s="36"/>
      <c r="B59" s="121">
        <v>0</v>
      </c>
      <c r="C59" s="200">
        <f aca="true" t="shared" si="2" ref="C59:C68">+C58+(B58+B59)/2</f>
        <v>0</v>
      </c>
      <c r="D59" s="121">
        <v>0.17</v>
      </c>
      <c r="E59" s="115">
        <v>0</v>
      </c>
      <c r="F59" s="101">
        <f t="shared" si="0"/>
        <v>0</v>
      </c>
      <c r="K59" s="202">
        <v>15</v>
      </c>
      <c r="L59" s="202"/>
      <c r="M59" s="202">
        <v>290</v>
      </c>
      <c r="N59" s="202">
        <v>20</v>
      </c>
      <c r="O59" s="202">
        <v>320</v>
      </c>
      <c r="P59" s="202">
        <v>20</v>
      </c>
      <c r="Q59" s="201">
        <f t="shared" si="1"/>
        <v>320</v>
      </c>
    </row>
    <row r="60" spans="1:17" ht="15.75">
      <c r="A60" s="36"/>
      <c r="B60" s="121">
        <v>0</v>
      </c>
      <c r="C60" s="200">
        <f t="shared" si="2"/>
        <v>0</v>
      </c>
      <c r="D60" s="121">
        <v>0.17</v>
      </c>
      <c r="E60" s="115">
        <v>0</v>
      </c>
      <c r="F60" s="101">
        <f t="shared" si="0"/>
        <v>0</v>
      </c>
      <c r="K60" s="202">
        <v>0.9</v>
      </c>
      <c r="L60" s="202"/>
      <c r="M60" s="202">
        <v>0.3</v>
      </c>
      <c r="N60" s="202">
        <v>1</v>
      </c>
      <c r="O60" s="202">
        <v>0.2</v>
      </c>
      <c r="P60" s="202">
        <v>1.26</v>
      </c>
      <c r="Q60" s="201">
        <f t="shared" si="1"/>
        <v>-0.06</v>
      </c>
    </row>
    <row r="61" spans="1:17" ht="15.75">
      <c r="A61" s="36"/>
      <c r="B61" s="121">
        <v>0</v>
      </c>
      <c r="C61" s="200">
        <f t="shared" si="2"/>
        <v>0</v>
      </c>
      <c r="D61" s="121">
        <v>0.17</v>
      </c>
      <c r="E61" s="115">
        <v>0</v>
      </c>
      <c r="F61" s="101">
        <f t="shared" si="0"/>
        <v>0</v>
      </c>
      <c r="K61" s="202">
        <v>0.9</v>
      </c>
      <c r="L61" s="202"/>
      <c r="M61" s="202">
        <v>0.6</v>
      </c>
      <c r="N61" s="202">
        <v>1</v>
      </c>
      <c r="O61" s="202">
        <v>0.5</v>
      </c>
      <c r="P61" s="202">
        <v>1.07</v>
      </c>
      <c r="Q61" s="201">
        <f t="shared" si="1"/>
        <v>0.42999999999999994</v>
      </c>
    </row>
    <row r="62" spans="1:17" ht="15.75">
      <c r="A62" s="36">
        <v>2</v>
      </c>
      <c r="B62" s="121">
        <v>2</v>
      </c>
      <c r="C62" s="200">
        <f t="shared" si="2"/>
        <v>1</v>
      </c>
      <c r="D62" s="121">
        <v>0.15</v>
      </c>
      <c r="E62" s="115">
        <v>3.5</v>
      </c>
      <c r="F62" s="101">
        <f t="shared" si="0"/>
        <v>7</v>
      </c>
      <c r="K62" s="202">
        <v>10</v>
      </c>
      <c r="L62" s="202"/>
      <c r="M62" s="202">
        <v>4.6</v>
      </c>
      <c r="N62" s="202">
        <v>15</v>
      </c>
      <c r="O62" s="202">
        <v>5.1</v>
      </c>
      <c r="P62" s="202">
        <v>18.65</v>
      </c>
      <c r="Q62" s="201">
        <f t="shared" si="1"/>
        <v>5.465</v>
      </c>
    </row>
    <row r="63" spans="1:17" ht="15.75">
      <c r="A63" s="36"/>
      <c r="B63" s="121">
        <v>2</v>
      </c>
      <c r="C63" s="200">
        <f t="shared" si="2"/>
        <v>3</v>
      </c>
      <c r="D63" s="121">
        <v>0.15</v>
      </c>
      <c r="E63" s="115">
        <v>4.8</v>
      </c>
      <c r="F63" s="101">
        <f>E63*B63</f>
        <v>9.6</v>
      </c>
      <c r="K63" s="202">
        <v>30</v>
      </c>
      <c r="L63" s="202"/>
      <c r="M63" s="202">
        <v>9.3</v>
      </c>
      <c r="N63" s="202">
        <v>35</v>
      </c>
      <c r="O63" s="202">
        <v>10</v>
      </c>
      <c r="P63" s="202">
        <v>25</v>
      </c>
      <c r="Q63" s="201">
        <f>IF((K63&lt;P63)*AND(P63&lt;N63),(P63-K63)*(O63-M63)/(N63-K63)+M63,IF(P63&gt;N63,(P63-K63)*(O63-M63)/(N63-K63)+M63,(M63*(N63-P63)-O63*(K63-P63))/(N63-K63)))</f>
        <v>8.6</v>
      </c>
    </row>
    <row r="64" spans="1:17" ht="15.75">
      <c r="A64" s="36"/>
      <c r="B64" s="121">
        <v>2</v>
      </c>
      <c r="C64" s="200">
        <f t="shared" si="2"/>
        <v>5</v>
      </c>
      <c r="D64" s="121">
        <v>0.15</v>
      </c>
      <c r="E64" s="115">
        <v>5.6</v>
      </c>
      <c r="F64" s="101">
        <f>E64*B64</f>
        <v>11.2</v>
      </c>
      <c r="K64" s="202">
        <v>30</v>
      </c>
      <c r="L64" s="202"/>
      <c r="M64" s="202">
        <v>9.3</v>
      </c>
      <c r="N64" s="202">
        <v>35</v>
      </c>
      <c r="O64" s="202">
        <v>10</v>
      </c>
      <c r="P64" s="202">
        <v>25</v>
      </c>
      <c r="Q64" s="201">
        <f>IF((K64&lt;P64)*AND(P64&lt;N64),(P64-K64)*(O64-M64)/(N64-K64)+M64,IF(P64&gt;N64,(P64-K64)*(O64-M64)/(N64-K64)+M64,(M64*(N64-P64)-O64*(K64-P64))/(N64-K64)))</f>
        <v>8.6</v>
      </c>
    </row>
    <row r="65" spans="1:17" ht="15.75">
      <c r="A65" s="36"/>
      <c r="B65" s="121">
        <v>2</v>
      </c>
      <c r="C65" s="200">
        <f t="shared" si="2"/>
        <v>7</v>
      </c>
      <c r="D65" s="121">
        <v>0.15</v>
      </c>
      <c r="E65" s="115">
        <v>6</v>
      </c>
      <c r="F65" s="101">
        <f t="shared" si="0"/>
        <v>12</v>
      </c>
      <c r="K65" s="202">
        <v>30</v>
      </c>
      <c r="L65" s="202"/>
      <c r="M65" s="202">
        <v>9.3</v>
      </c>
      <c r="N65" s="202">
        <v>35</v>
      </c>
      <c r="O65" s="202">
        <v>10</v>
      </c>
      <c r="P65" s="202">
        <v>25</v>
      </c>
      <c r="Q65" s="201">
        <f t="shared" si="1"/>
        <v>8.6</v>
      </c>
    </row>
    <row r="66" spans="1:17" ht="15.75">
      <c r="A66" s="36">
        <v>3</v>
      </c>
      <c r="B66" s="121">
        <v>2</v>
      </c>
      <c r="C66" s="200">
        <f t="shared" si="2"/>
        <v>9</v>
      </c>
      <c r="D66" s="121">
        <v>0.14</v>
      </c>
      <c r="E66" s="115">
        <v>6.35</v>
      </c>
      <c r="F66" s="101">
        <f t="shared" si="0"/>
        <v>12.7</v>
      </c>
      <c r="K66" s="202">
        <v>10</v>
      </c>
      <c r="L66" s="202"/>
      <c r="M66" s="202">
        <v>6.5</v>
      </c>
      <c r="N66" s="202">
        <v>15</v>
      </c>
      <c r="O66" s="202">
        <v>7.2</v>
      </c>
      <c r="P66" s="202">
        <v>15</v>
      </c>
      <c r="Q66" s="201">
        <f t="shared" si="1"/>
        <v>7.2</v>
      </c>
    </row>
    <row r="67" spans="1:6" ht="15.75">
      <c r="A67" s="36"/>
      <c r="B67" s="121">
        <v>0</v>
      </c>
      <c r="C67" s="200">
        <f t="shared" si="2"/>
        <v>10</v>
      </c>
      <c r="D67" s="121">
        <v>0.14</v>
      </c>
      <c r="E67" s="115">
        <v>0</v>
      </c>
      <c r="F67" s="101">
        <f t="shared" si="0"/>
        <v>0</v>
      </c>
    </row>
    <row r="68" spans="1:11" ht="15.75">
      <c r="A68" s="36"/>
      <c r="B68" s="121">
        <v>0</v>
      </c>
      <c r="C68" s="200">
        <f t="shared" si="2"/>
        <v>10</v>
      </c>
      <c r="D68" s="121">
        <v>0.14</v>
      </c>
      <c r="E68" s="115">
        <v>0</v>
      </c>
      <c r="F68" s="101">
        <f t="shared" si="0"/>
        <v>0</v>
      </c>
      <c r="K68" s="1" t="s">
        <v>24</v>
      </c>
    </row>
    <row r="69" spans="1:6" ht="15.75">
      <c r="A69" s="36" t="s">
        <v>399</v>
      </c>
      <c r="B69" s="100">
        <f>IF(SUM(B57:B68)=B15,SUM(B57:B68),IF(SUM(B57:B68)&gt;B15,"Dö roài","Tieáp tuïc"))</f>
        <v>10</v>
      </c>
      <c r="C69" s="100"/>
      <c r="D69" s="39"/>
      <c r="E69" s="39"/>
      <c r="F69" s="101">
        <f>SUM(F57:F68)</f>
        <v>52.5</v>
      </c>
    </row>
    <row r="70" spans="1:4" ht="14.25">
      <c r="A70" s="3"/>
      <c r="B70" s="3"/>
      <c r="C70" s="3"/>
      <c r="D70" s="3"/>
    </row>
    <row r="71" ht="14.25">
      <c r="A71" s="1" t="s">
        <v>400</v>
      </c>
    </row>
    <row r="72" spans="1:3" ht="15.75">
      <c r="A72" s="8" t="s">
        <v>401</v>
      </c>
      <c r="B72" s="96">
        <f>B50*B51*F69</f>
        <v>52.5</v>
      </c>
      <c r="C72" s="1" t="s">
        <v>186</v>
      </c>
    </row>
    <row r="73" ht="14.25">
      <c r="A73" s="1" t="s">
        <v>402</v>
      </c>
    </row>
    <row r="74" spans="1:3" ht="15.75">
      <c r="A74" s="8" t="s">
        <v>403</v>
      </c>
      <c r="B74" s="96">
        <f>B34*(B43+B72)</f>
        <v>90.9375</v>
      </c>
      <c r="C74" s="1" t="s">
        <v>186</v>
      </c>
    </row>
    <row r="75" ht="15.75">
      <c r="A75" s="2" t="s">
        <v>436</v>
      </c>
    </row>
    <row r="76" spans="1:3" ht="15.75">
      <c r="A76" s="103" t="s">
        <v>405</v>
      </c>
      <c r="B76" s="96">
        <f>B74/B33</f>
        <v>55.11363636363637</v>
      </c>
      <c r="C76" s="1" t="s">
        <v>186</v>
      </c>
    </row>
    <row r="78" ht="15.75">
      <c r="A78" s="7" t="s">
        <v>407</v>
      </c>
    </row>
    <row r="79" spans="1:2" ht="15.75">
      <c r="A79" s="7"/>
      <c r="B79" s="97" t="s">
        <v>376</v>
      </c>
    </row>
    <row r="80" ht="14.25">
      <c r="A80" s="1" t="s">
        <v>408</v>
      </c>
    </row>
    <row r="81" ht="12.75"/>
    <row r="82" ht="12.75"/>
    <row r="83" ht="12.75"/>
    <row r="84" ht="14.25">
      <c r="A84" s="113" t="s">
        <v>432</v>
      </c>
    </row>
    <row r="85" ht="12.75"/>
    <row r="86" ht="12.75"/>
    <row r="87" ht="12.75"/>
    <row r="88" ht="14.25">
      <c r="A88" s="1" t="s">
        <v>208</v>
      </c>
    </row>
    <row r="89" ht="14.25">
      <c r="A89" s="1" t="s">
        <v>410</v>
      </c>
    </row>
    <row r="90" ht="12.75"/>
    <row r="91" ht="12.75"/>
    <row r="92" ht="12.75"/>
    <row r="93" ht="14.25">
      <c r="A93" s="4" t="s">
        <v>504</v>
      </c>
    </row>
    <row r="94" ht="14.25">
      <c r="A94" s="4" t="s">
        <v>505</v>
      </c>
    </row>
    <row r="95" ht="12.75"/>
    <row r="96" ht="12.75"/>
    <row r="97" ht="12.75"/>
    <row r="98" ht="14.25">
      <c r="A98" s="1" t="s">
        <v>411</v>
      </c>
    </row>
    <row r="99" spans="1:3" ht="15.75">
      <c r="A99" s="8" t="s">
        <v>412</v>
      </c>
      <c r="B99" s="119">
        <v>0.17</v>
      </c>
      <c r="C99" s="1" t="s">
        <v>413</v>
      </c>
    </row>
    <row r="100" spans="1:3" ht="16.5">
      <c r="A100" s="92" t="s">
        <v>414</v>
      </c>
      <c r="B100" s="119">
        <v>26.9</v>
      </c>
      <c r="C100" s="1" t="s">
        <v>415</v>
      </c>
    </row>
    <row r="101" spans="1:3" ht="15.75" hidden="1">
      <c r="A101" s="92" t="s">
        <v>414</v>
      </c>
      <c r="B101" s="106">
        <f>B100*3.14/180</f>
        <v>0.46925555555555554</v>
      </c>
      <c r="C101" s="1" t="s">
        <v>211</v>
      </c>
    </row>
    <row r="102" spans="1:2" ht="15.75">
      <c r="A102" s="105" t="s">
        <v>417</v>
      </c>
      <c r="B102" s="96">
        <f>2.72^(2*TAN(B101)*(3/4*3.142-B101/2))/2/(COS(B101/2+3.142/4))^2</f>
        <v>15.725471930970908</v>
      </c>
    </row>
    <row r="103" spans="1:2" ht="15.75">
      <c r="A103" s="105" t="s">
        <v>416</v>
      </c>
      <c r="B103" s="96">
        <f>1/TAN(B101)*(2.718^(2*TAN(B101)*(3/4*3.142-B101/2))/(2*(COS(3.142/4+B101/2))^2)-1)</f>
        <v>28.993571997892545</v>
      </c>
    </row>
    <row r="104" ht="14.25">
      <c r="A104" s="107" t="s">
        <v>418</v>
      </c>
    </row>
    <row r="105" spans="1:4" ht="16.5">
      <c r="A105" s="99" t="s">
        <v>261</v>
      </c>
      <c r="B105" s="99" t="s">
        <v>278</v>
      </c>
      <c r="C105" s="114" t="s">
        <v>283</v>
      </c>
      <c r="D105" s="99" t="s">
        <v>307</v>
      </c>
    </row>
    <row r="106" spans="1:4" ht="15.75">
      <c r="A106" s="117">
        <v>1</v>
      </c>
      <c r="B106" s="117">
        <v>1.5</v>
      </c>
      <c r="C106" s="117">
        <v>2</v>
      </c>
      <c r="D106" s="102">
        <f>B106*C106</f>
        <v>3</v>
      </c>
    </row>
    <row r="107" spans="1:4" ht="15.75">
      <c r="A107" s="117">
        <v>2</v>
      </c>
      <c r="B107" s="117">
        <v>0.5</v>
      </c>
      <c r="C107" s="117">
        <v>1.744</v>
      </c>
      <c r="D107" s="102">
        <f>B107*C107</f>
        <v>0.872</v>
      </c>
    </row>
    <row r="108" spans="1:4" ht="15.75">
      <c r="A108" s="117">
        <v>3</v>
      </c>
      <c r="B108" s="117">
        <v>2.2</v>
      </c>
      <c r="C108" s="117">
        <f>(1.996+0.996)/2</f>
        <v>1.496</v>
      </c>
      <c r="D108" s="102">
        <f>B108*C108</f>
        <v>3.2912000000000003</v>
      </c>
    </row>
    <row r="109" spans="1:4" ht="15.75">
      <c r="A109" s="117">
        <v>4</v>
      </c>
      <c r="B109" s="117">
        <v>1.5</v>
      </c>
      <c r="C109" s="117">
        <v>0.862</v>
      </c>
      <c r="D109" s="102">
        <f>B109*C109</f>
        <v>1.293</v>
      </c>
    </row>
    <row r="110" spans="1:4" ht="15.75">
      <c r="A110" s="117">
        <v>5</v>
      </c>
      <c r="B110" s="117">
        <v>19.2</v>
      </c>
      <c r="C110" s="117">
        <v>0.876</v>
      </c>
      <c r="D110" s="102">
        <f>B110*C110</f>
        <v>16.8192</v>
      </c>
    </row>
    <row r="111" spans="1:4" ht="15.75">
      <c r="A111" s="118" t="s">
        <v>263</v>
      </c>
      <c r="B111" s="40"/>
      <c r="C111" s="40"/>
      <c r="D111" s="101">
        <f>SUM(D106:D110)</f>
        <v>25.275399999999998</v>
      </c>
    </row>
    <row r="112" spans="1:9" ht="15.75">
      <c r="A112" s="108" t="s">
        <v>266</v>
      </c>
      <c r="B112" s="109"/>
      <c r="C112" s="109"/>
      <c r="D112" s="110"/>
      <c r="E112" s="109"/>
      <c r="F112" s="111"/>
      <c r="G112" s="34"/>
      <c r="H112" s="34"/>
      <c r="I112" s="34"/>
    </row>
    <row r="113" spans="1:9" ht="15.75">
      <c r="A113" s="112" t="s">
        <v>430</v>
      </c>
      <c r="B113" s="34"/>
      <c r="C113" s="34"/>
      <c r="D113" s="108"/>
      <c r="E113" s="34"/>
      <c r="F113" s="34"/>
      <c r="G113" s="34"/>
      <c r="H113" s="34"/>
      <c r="I113" s="34"/>
    </row>
    <row r="114" spans="1:9" ht="16.5">
      <c r="A114" s="112" t="s">
        <v>285</v>
      </c>
      <c r="B114" s="34"/>
      <c r="C114" s="34"/>
      <c r="D114" s="108"/>
      <c r="E114" s="34"/>
      <c r="F114" s="34"/>
      <c r="G114" s="34"/>
      <c r="H114" s="34"/>
      <c r="I114" s="34"/>
    </row>
    <row r="115" spans="1:9" ht="14.25">
      <c r="A115" s="34" t="s">
        <v>419</v>
      </c>
      <c r="B115" s="34"/>
      <c r="C115" s="34"/>
      <c r="D115" s="34"/>
      <c r="E115" s="34"/>
      <c r="F115" s="34"/>
      <c r="G115" s="34"/>
      <c r="H115" s="34"/>
      <c r="I115" s="34"/>
    </row>
    <row r="116" spans="1:3" ht="15.75">
      <c r="A116" s="105" t="s">
        <v>420</v>
      </c>
      <c r="B116" s="96">
        <f>B103*B99+B102*D111</f>
        <v>402.3965004837038</v>
      </c>
      <c r="C116" s="1" t="s">
        <v>421</v>
      </c>
    </row>
    <row r="117" ht="14.25">
      <c r="A117" s="1" t="s">
        <v>422</v>
      </c>
    </row>
    <row r="118" spans="1:3" ht="15.75">
      <c r="A118" s="105" t="s">
        <v>423</v>
      </c>
      <c r="B118" s="96">
        <f>B116*(B14/100)^2</f>
        <v>25.149781280231487</v>
      </c>
      <c r="C118" s="1" t="s">
        <v>186</v>
      </c>
    </row>
    <row r="119" ht="14.25">
      <c r="A119" s="113" t="s">
        <v>431</v>
      </c>
    </row>
    <row r="120" ht="12.75"/>
    <row r="121" ht="12.75"/>
    <row r="122" ht="12.75"/>
    <row r="123" ht="14.25">
      <c r="A123" s="1" t="s">
        <v>208</v>
      </c>
    </row>
    <row r="124" ht="14.25">
      <c r="A124" s="1" t="s">
        <v>389</v>
      </c>
    </row>
    <row r="125" spans="1:3" ht="15.75">
      <c r="A125" s="8" t="s">
        <v>390</v>
      </c>
      <c r="B125" s="98">
        <f>4*$B$14/100</f>
        <v>1</v>
      </c>
      <c r="C125" s="1" t="s">
        <v>187</v>
      </c>
    </row>
    <row r="126" ht="14.25">
      <c r="A126" s="1" t="s">
        <v>424</v>
      </c>
    </row>
    <row r="127" ht="12.75"/>
    <row r="128" ht="12.75"/>
    <row r="129" ht="12.75">
      <c r="A129" s="1" t="s">
        <v>411</v>
      </c>
    </row>
    <row r="130" spans="1:2" ht="14.25">
      <c r="A130" s="8" t="s">
        <v>427</v>
      </c>
      <c r="B130" s="1" t="s">
        <v>425</v>
      </c>
    </row>
    <row r="131" spans="1:2" ht="15.75">
      <c r="A131" s="92" t="s">
        <v>428</v>
      </c>
      <c r="B131" s="1" t="s">
        <v>426</v>
      </c>
    </row>
    <row r="132" spans="1:2" ht="15.75">
      <c r="A132" s="5" t="s">
        <v>429</v>
      </c>
      <c r="B132" s="98"/>
    </row>
    <row r="133" spans="1:2" ht="12.75">
      <c r="A133" s="5"/>
      <c r="B133" s="98"/>
    </row>
    <row r="134" spans="1:2" ht="12.75">
      <c r="A134" s="5"/>
      <c r="B134" s="98"/>
    </row>
    <row r="135" spans="1:2" ht="15.75">
      <c r="A135" s="5"/>
      <c r="B135" s="98"/>
    </row>
    <row r="136" ht="14.25">
      <c r="A136" s="1" t="s">
        <v>445</v>
      </c>
    </row>
    <row r="137" spans="1:12" ht="16.5">
      <c r="A137" s="99" t="s">
        <v>395</v>
      </c>
      <c r="B137" s="99" t="s">
        <v>434</v>
      </c>
      <c r="C137" s="99" t="s">
        <v>443</v>
      </c>
      <c r="D137" s="114" t="s">
        <v>444</v>
      </c>
      <c r="E137" s="114" t="s">
        <v>435</v>
      </c>
      <c r="F137" s="99" t="s">
        <v>397</v>
      </c>
      <c r="G137" s="114" t="s">
        <v>448</v>
      </c>
      <c r="H137" s="99" t="s">
        <v>446</v>
      </c>
      <c r="I137" s="114" t="s">
        <v>433</v>
      </c>
      <c r="J137" s="99" t="s">
        <v>396</v>
      </c>
      <c r="K137" s="99" t="s">
        <v>398</v>
      </c>
      <c r="L137" s="99" t="s">
        <v>449</v>
      </c>
    </row>
    <row r="138" spans="1:12" ht="15.75">
      <c r="A138" s="117">
        <v>2</v>
      </c>
      <c r="B138" s="121">
        <v>1.85</v>
      </c>
      <c r="C138" s="115">
        <v>0.249</v>
      </c>
      <c r="D138" s="115">
        <v>13.763</v>
      </c>
      <c r="E138" s="115">
        <v>1.725</v>
      </c>
      <c r="F138" s="116">
        <v>0.5</v>
      </c>
      <c r="G138" s="122">
        <f>B138*E138</f>
        <v>3.19125</v>
      </c>
      <c r="H138" s="122">
        <f>(1-SIN(D138*3.142/180))</f>
        <v>0.7620634714903243</v>
      </c>
      <c r="I138" s="122">
        <f>H138*G138</f>
        <v>2.4319350533934974</v>
      </c>
      <c r="J138" s="122">
        <f>C138+I138*TAN(D138*3.142/180)</f>
        <v>0.8447558726686423</v>
      </c>
      <c r="K138" s="101">
        <f>J138*F138</f>
        <v>0.42237793633432114</v>
      </c>
      <c r="L138" s="125" t="s">
        <v>450</v>
      </c>
    </row>
    <row r="139" spans="1:12" ht="15.75">
      <c r="A139" s="36">
        <v>3</v>
      </c>
      <c r="B139" s="121">
        <v>3.2</v>
      </c>
      <c r="C139" s="115">
        <v>1.84</v>
      </c>
      <c r="D139" s="115">
        <v>15.056</v>
      </c>
      <c r="E139" s="115">
        <v>1.989</v>
      </c>
      <c r="F139" s="116">
        <v>2.2</v>
      </c>
      <c r="G139" s="122">
        <f>(B138+F138/2)*E138+F139/2*E139</f>
        <v>5.810400000000001</v>
      </c>
      <c r="H139" s="122">
        <f>(1-SIN(D139*3.142/180))</f>
        <v>0.7402040953598964</v>
      </c>
      <c r="I139" s="122">
        <f>H139*G139</f>
        <v>4.300881875679143</v>
      </c>
      <c r="J139" s="122">
        <f>C139+I139*TAN(D139*3.142/180)</f>
        <v>2.997081573554971</v>
      </c>
      <c r="K139" s="101">
        <f>J139*F139</f>
        <v>6.593579461820937</v>
      </c>
      <c r="L139" s="125" t="s">
        <v>451</v>
      </c>
    </row>
    <row r="140" spans="1:12" ht="15.75">
      <c r="A140" s="36">
        <v>4</v>
      </c>
      <c r="B140" s="121">
        <v>5.05</v>
      </c>
      <c r="C140" s="115">
        <v>0.53</v>
      </c>
      <c r="D140" s="115">
        <v>6.854</v>
      </c>
      <c r="E140" s="115">
        <v>0.914</v>
      </c>
      <c r="F140" s="116">
        <v>1.5</v>
      </c>
      <c r="G140" s="122">
        <f>(B138+F138/2)*E138+F139/2*(E139+E139-1)+F140/2*E140</f>
        <v>7.583800000000001</v>
      </c>
      <c r="H140" s="122">
        <f>(1-SIN(D140*3.142/180))</f>
        <v>0.8806448364923307</v>
      </c>
      <c r="I140" s="122">
        <f>H140*G140</f>
        <v>6.678634310990539</v>
      </c>
      <c r="J140" s="122">
        <f>C140+I140*TAN(D140*3.142/180)</f>
        <v>1.3328686984757936</v>
      </c>
      <c r="K140" s="101">
        <f>J140*F140</f>
        <v>1.9993030477136904</v>
      </c>
      <c r="L140" s="40"/>
    </row>
    <row r="141" spans="1:12" ht="15.75">
      <c r="A141" s="36">
        <v>5</v>
      </c>
      <c r="B141" s="121">
        <v>15.4</v>
      </c>
      <c r="C141" s="115">
        <v>0.17</v>
      </c>
      <c r="D141" s="115">
        <v>26.9</v>
      </c>
      <c r="E141" s="115">
        <v>0.867</v>
      </c>
      <c r="F141" s="116">
        <v>19.2</v>
      </c>
      <c r="G141" s="122">
        <f>(B138+F138/2)*E138+F139/2*(E139*2-1)+F140*E140+F141/2*E141</f>
        <v>16.5925</v>
      </c>
      <c r="H141" s="122">
        <f>(1-SIN(D141*3.142/180))</f>
        <v>0.5475110027651869</v>
      </c>
      <c r="I141" s="122">
        <f>H141*G141</f>
        <v>9.084576313381366</v>
      </c>
      <c r="J141" s="122">
        <f>C141+I141*TAN(D141*3.142/180)</f>
        <v>4.779564004505506</v>
      </c>
      <c r="K141" s="101">
        <f>J141*F141</f>
        <v>91.7676288865057</v>
      </c>
      <c r="L141" s="101"/>
    </row>
    <row r="142" spans="1:12" ht="15.75">
      <c r="A142" s="36" t="s">
        <v>399</v>
      </c>
      <c r="B142" s="100"/>
      <c r="C142" s="100"/>
      <c r="D142" s="100"/>
      <c r="E142" s="100"/>
      <c r="F142" s="100"/>
      <c r="G142" s="123"/>
      <c r="H142" s="124"/>
      <c r="I142" s="123"/>
      <c r="J142" s="123"/>
      <c r="K142" s="101">
        <f>SUM(K138:K141)</f>
        <v>100.78288933237465</v>
      </c>
      <c r="L142" s="101"/>
    </row>
    <row r="143" spans="1:4" ht="15.75">
      <c r="A143" s="108" t="s">
        <v>266</v>
      </c>
      <c r="B143" s="3"/>
      <c r="C143" s="3"/>
      <c r="D143" s="3"/>
    </row>
    <row r="144" ht="14.25">
      <c r="A144" s="112" t="s">
        <v>447</v>
      </c>
    </row>
    <row r="145" ht="14.25">
      <c r="A145" s="1" t="s">
        <v>400</v>
      </c>
    </row>
    <row r="146" spans="1:3" ht="15.75">
      <c r="A146" s="8" t="s">
        <v>401</v>
      </c>
      <c r="B146" s="96">
        <f>B125*K142</f>
        <v>100.78288933237465</v>
      </c>
      <c r="C146" s="1" t="s">
        <v>186</v>
      </c>
    </row>
    <row r="147" ht="15.75">
      <c r="A147" s="2" t="s">
        <v>25</v>
      </c>
    </row>
    <row r="148" spans="1:3" ht="15.75">
      <c r="A148" s="8" t="s">
        <v>404</v>
      </c>
      <c r="B148" s="96">
        <f>B118/3+B146/2</f>
        <v>58.77470509293116</v>
      </c>
      <c r="C148" s="1" t="s">
        <v>186</v>
      </c>
    </row>
    <row r="149" ht="15.75">
      <c r="A149" s="6" t="s">
        <v>26</v>
      </c>
    </row>
    <row r="150" spans="1:3" ht="15.75">
      <c r="A150" s="8" t="s">
        <v>437</v>
      </c>
      <c r="B150" s="96">
        <f>MIN(B148,B76,B20)</f>
        <v>55.11363636363637</v>
      </c>
      <c r="C150" s="1" t="s">
        <v>186</v>
      </c>
    </row>
    <row r="152" ht="15.75">
      <c r="A152" s="6" t="s">
        <v>438</v>
      </c>
    </row>
    <row r="153" ht="15.75">
      <c r="A153" s="1" t="s">
        <v>439</v>
      </c>
    </row>
    <row r="154" ht="15.75">
      <c r="A154" s="1" t="s">
        <v>540</v>
      </c>
    </row>
    <row r="155" ht="14.25">
      <c r="A155" s="1" t="s">
        <v>541</v>
      </c>
    </row>
    <row r="156" spans="2:3" ht="15.75">
      <c r="B156" s="2" t="s">
        <v>440</v>
      </c>
      <c r="C156" s="2"/>
    </row>
    <row r="157" spans="2:3" ht="15.75">
      <c r="B157" s="2" t="s">
        <v>441</v>
      </c>
      <c r="C157" s="2"/>
    </row>
    <row r="158" ht="14.25">
      <c r="A158" s="104" t="s">
        <v>442</v>
      </c>
    </row>
    <row r="159" ht="14.25">
      <c r="A159" s="1" t="s">
        <v>77</v>
      </c>
    </row>
    <row r="160" spans="1:3" ht="15.75">
      <c r="A160" s="1" t="s">
        <v>78</v>
      </c>
      <c r="B160" s="10">
        <f>B69</f>
        <v>10</v>
      </c>
      <c r="C160" s="1" t="s">
        <v>79</v>
      </c>
    </row>
  </sheetData>
  <printOptions/>
  <pageMargins left="0.75" right="0.37" top="0.46" bottom="0.6" header="0.48" footer="0.26"/>
  <pageSetup horizontalDpi="600" verticalDpi="600" orientation="portrait" paperSize="9" r:id="rId14"/>
  <headerFooter alignWithMargins="0">
    <oddFooter>&amp;L&amp;"VNI-Times,Normal"KS.NGUYEÃN TRAÀN KHOA</oddFooter>
  </headerFooter>
  <legacyDrawing r:id="rId13"/>
  <oleObjects>
    <oleObject progId="Equation.3" shapeId="334507" r:id="rId1"/>
    <oleObject progId="Equation.3" shapeId="434297" r:id="rId2"/>
    <oleObject progId="Equation.3" shapeId="472469" r:id="rId3"/>
    <oleObject progId="Equation.3" shapeId="503396" r:id="rId4"/>
    <oleObject progId="Equation.3" shapeId="563998" r:id="rId5"/>
    <oleObject progId="Equation.3" shapeId="228502" r:id="rId6"/>
    <oleObject progId="Equation.3" shapeId="244575" r:id="rId7"/>
    <oleObject progId="Equation.3" shapeId="258309" r:id="rId8"/>
    <oleObject progId="Equation.3" shapeId="297826" r:id="rId9"/>
    <oleObject progId="Equation.3" shapeId="533344" r:id="rId10"/>
    <oleObject progId="Equation.3" shapeId="556663" r:id="rId11"/>
    <oleObject progId="Equation.3" shapeId="68805" r:id="rId1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B1" sqref="B1"/>
    </sheetView>
  </sheetViews>
  <sheetFormatPr defaultColWidth="9.140625" defaultRowHeight="12.75"/>
  <cols>
    <col min="1" max="1" width="11.8515625" style="1" customWidth="1"/>
    <col min="2" max="16384" width="9.140625" style="1" customWidth="1"/>
  </cols>
  <sheetData>
    <row r="1" spans="1:3" ht="15.75">
      <c r="A1" s="2" t="s">
        <v>508</v>
      </c>
      <c r="B1" s="2"/>
      <c r="C1" s="2"/>
    </row>
    <row r="2" ht="15.75">
      <c r="A2" s="7" t="s">
        <v>364</v>
      </c>
    </row>
    <row r="3" ht="12.75"/>
    <row r="4" ht="12.75"/>
    <row r="5" ht="12.75"/>
    <row r="6" ht="12.75"/>
    <row r="7" ht="14.25">
      <c r="A7" s="1" t="s">
        <v>208</v>
      </c>
    </row>
    <row r="8" spans="1:2" ht="15.75">
      <c r="A8" s="8" t="s">
        <v>370</v>
      </c>
      <c r="B8" s="119">
        <v>300</v>
      </c>
    </row>
    <row r="9" spans="1:4" ht="15.75">
      <c r="A9" s="8" t="s">
        <v>371</v>
      </c>
      <c r="B9" s="96">
        <f>MIN(B8/4.5,60)</f>
        <v>60</v>
      </c>
      <c r="C9" s="1" t="s">
        <v>212</v>
      </c>
      <c r="D9" s="1" t="s">
        <v>502</v>
      </c>
    </row>
    <row r="10" spans="1:2" ht="15.75">
      <c r="A10" s="8" t="s">
        <v>220</v>
      </c>
      <c r="B10" s="120" t="s">
        <v>225</v>
      </c>
    </row>
    <row r="11" spans="1:4" ht="15.75">
      <c r="A11" s="8" t="s">
        <v>500</v>
      </c>
      <c r="B11" s="94">
        <f>VLOOKUP(B10,VATLIEU!H3:L9,5,0)</f>
        <v>3000</v>
      </c>
      <c r="C11" s="1" t="s">
        <v>212</v>
      </c>
      <c r="D11" s="1" t="s">
        <v>501</v>
      </c>
    </row>
    <row r="12" spans="1:3" ht="15.75">
      <c r="A12" s="8" t="s">
        <v>372</v>
      </c>
      <c r="B12" s="144">
        <f>IF(B16&lt;=28,MIN(B11/1.5,2200),VLOOKUP(B10,VATLIEU!H3:L9,2,0))</f>
        <v>2000</v>
      </c>
      <c r="C12" s="1" t="s">
        <v>212</v>
      </c>
    </row>
    <row r="13" spans="1:3" ht="15.75">
      <c r="A13" s="92" t="s">
        <v>365</v>
      </c>
      <c r="B13" s="119">
        <v>1</v>
      </c>
      <c r="C13" s="1" t="s">
        <v>366</v>
      </c>
    </row>
    <row r="14" spans="1:3" ht="15.75">
      <c r="A14" s="8" t="s">
        <v>368</v>
      </c>
      <c r="B14" s="119">
        <v>80</v>
      </c>
      <c r="C14" s="1" t="s">
        <v>503</v>
      </c>
    </row>
    <row r="15" spans="1:2" ht="15.75">
      <c r="A15" s="8" t="s">
        <v>383</v>
      </c>
      <c r="B15" s="119">
        <v>14</v>
      </c>
    </row>
    <row r="16" spans="1:2" ht="15.75">
      <c r="A16" s="8" t="s">
        <v>373</v>
      </c>
      <c r="B16" s="119">
        <v>16</v>
      </c>
    </row>
    <row r="17" spans="1:3" ht="15.75">
      <c r="A17" s="8" t="s">
        <v>374</v>
      </c>
      <c r="B17" s="143">
        <f>B15*(B16/10)^2*3.1415/4</f>
        <v>28.147840000000006</v>
      </c>
      <c r="C17" s="1" t="s">
        <v>328</v>
      </c>
    </row>
    <row r="18" ht="14.25">
      <c r="A18" s="1" t="s">
        <v>209</v>
      </c>
    </row>
    <row r="19" spans="1:3" ht="15.75">
      <c r="A19" s="8" t="s">
        <v>375</v>
      </c>
      <c r="B19" s="96">
        <f>B13*(B9*B14*B14*3.142/4+B12*B17)/1000</f>
        <v>357.92768</v>
      </c>
      <c r="C19" s="1" t="s">
        <v>186</v>
      </c>
    </row>
    <row r="21" ht="15.75">
      <c r="A21" s="7" t="s">
        <v>406</v>
      </c>
    </row>
    <row r="22" ht="14.25">
      <c r="B22" s="97" t="s">
        <v>376</v>
      </c>
    </row>
    <row r="23" ht="12.75">
      <c r="A23" s="1" t="s">
        <v>377</v>
      </c>
    </row>
    <row r="24" ht="12.75"/>
    <row r="25" ht="12.75"/>
    <row r="26" ht="12.75">
      <c r="A26" s="1" t="s">
        <v>208</v>
      </c>
    </row>
    <row r="27" ht="14.25">
      <c r="A27" s="1" t="s">
        <v>378</v>
      </c>
    </row>
    <row r="28" ht="12.75"/>
    <row r="29" ht="12.75"/>
    <row r="30" ht="12.75"/>
    <row r="31" ht="14.25">
      <c r="A31" s="1" t="s">
        <v>387</v>
      </c>
    </row>
    <row r="32" spans="1:2" ht="15.75">
      <c r="A32" s="8" t="s">
        <v>379</v>
      </c>
      <c r="B32" s="120">
        <v>1.4</v>
      </c>
    </row>
    <row r="33" spans="1:3" ht="15.75">
      <c r="A33" s="8" t="s">
        <v>380</v>
      </c>
      <c r="B33" s="120">
        <v>1</v>
      </c>
      <c r="C33" s="1" t="s">
        <v>381</v>
      </c>
    </row>
    <row r="34" ht="14.25">
      <c r="A34" s="113" t="s">
        <v>432</v>
      </c>
    </row>
    <row r="35" ht="12.75"/>
    <row r="36" ht="12.75"/>
    <row r="37" ht="12.75"/>
    <row r="38" spans="1:3" ht="15.75">
      <c r="A38" s="8" t="s">
        <v>382</v>
      </c>
      <c r="B38" s="120">
        <v>1</v>
      </c>
      <c r="C38" s="1" t="s">
        <v>391</v>
      </c>
    </row>
    <row r="39" ht="14.25">
      <c r="A39" s="1" t="s">
        <v>509</v>
      </c>
    </row>
    <row r="40" spans="1:2" ht="12.75">
      <c r="A40" s="8"/>
      <c r="B40" s="146"/>
    </row>
    <row r="41" spans="1:2" ht="12.75">
      <c r="A41" s="8"/>
      <c r="B41" s="146"/>
    </row>
    <row r="42" spans="1:2" ht="12.75">
      <c r="A42" s="1" t="s">
        <v>512</v>
      </c>
      <c r="B42" s="146"/>
    </row>
    <row r="43" spans="1:2" ht="15.75">
      <c r="A43" s="92" t="s">
        <v>510</v>
      </c>
      <c r="B43" s="120">
        <v>0.29</v>
      </c>
    </row>
    <row r="44" spans="1:2" ht="15.75">
      <c r="A44" s="92" t="s">
        <v>511</v>
      </c>
      <c r="B44" s="120">
        <v>0.54</v>
      </c>
    </row>
    <row r="45" spans="1:2" ht="16.5">
      <c r="A45" s="8" t="s">
        <v>513</v>
      </c>
      <c r="B45" s="120">
        <v>17.3</v>
      </c>
    </row>
    <row r="46" spans="1:2" ht="16.5">
      <c r="A46" s="8" t="s">
        <v>514</v>
      </c>
      <c r="B46" s="120">
        <v>32.8</v>
      </c>
    </row>
    <row r="47" spans="1:3" ht="15.75">
      <c r="A47" s="8" t="s">
        <v>515</v>
      </c>
      <c r="B47" s="120">
        <v>24</v>
      </c>
      <c r="C47" s="1" t="s">
        <v>516</v>
      </c>
    </row>
    <row r="48" spans="1:3" ht="16.5">
      <c r="A48" s="92" t="s">
        <v>518</v>
      </c>
      <c r="B48" s="120">
        <v>0.876</v>
      </c>
      <c r="C48" s="1" t="s">
        <v>517</v>
      </c>
    </row>
    <row r="49" spans="1:3" ht="15.75">
      <c r="A49" s="92" t="s">
        <v>519</v>
      </c>
      <c r="B49" s="120">
        <v>0.997</v>
      </c>
      <c r="C49" s="1" t="s">
        <v>521</v>
      </c>
    </row>
    <row r="50" spans="1:3" ht="15.75">
      <c r="A50" s="92"/>
      <c r="B50" s="146"/>
      <c r="C50" s="1" t="s">
        <v>520</v>
      </c>
    </row>
    <row r="51" spans="1:3" ht="15.75">
      <c r="A51" s="8" t="s">
        <v>522</v>
      </c>
      <c r="B51" s="96">
        <f>B14/100</f>
        <v>0.8</v>
      </c>
      <c r="C51" s="1" t="s">
        <v>523</v>
      </c>
    </row>
    <row r="52" spans="1:3" ht="15.75">
      <c r="A52" s="8" t="s">
        <v>384</v>
      </c>
      <c r="B52" s="96">
        <f>0.75*B43*(B48*B51*B45+B44*B49*B47*B46)</f>
        <v>94.81620528</v>
      </c>
      <c r="C52" s="1" t="s">
        <v>385</v>
      </c>
    </row>
    <row r="53" ht="14.25">
      <c r="A53" s="1" t="s">
        <v>388</v>
      </c>
    </row>
    <row r="54" spans="1:3" ht="15.75">
      <c r="A54" s="8" t="s">
        <v>386</v>
      </c>
      <c r="B54" s="96">
        <f>B38*B52*(B14/100)^2*3.142/4</f>
        <v>47.66600271836161</v>
      </c>
      <c r="C54" s="1" t="s">
        <v>186</v>
      </c>
    </row>
    <row r="55" ht="14.25">
      <c r="A55" s="113" t="s">
        <v>431</v>
      </c>
    </row>
    <row r="56" ht="12.75"/>
    <row r="57" ht="12.75"/>
    <row r="58" ht="12.75"/>
    <row r="59" ht="14.25">
      <c r="A59" s="1" t="s">
        <v>208</v>
      </c>
    </row>
    <row r="60" ht="14.25">
      <c r="A60" s="1" t="s">
        <v>389</v>
      </c>
    </row>
    <row r="61" spans="1:3" ht="15.75">
      <c r="A61" s="8" t="s">
        <v>390</v>
      </c>
      <c r="B61" s="145">
        <f>B14/100*3.142</f>
        <v>2.5136000000000003</v>
      </c>
      <c r="C61" s="1" t="s">
        <v>187</v>
      </c>
    </row>
    <row r="62" spans="1:3" ht="15.75">
      <c r="A62" s="8" t="s">
        <v>507</v>
      </c>
      <c r="B62" s="120">
        <v>0.6</v>
      </c>
      <c r="C62" s="1" t="s">
        <v>528</v>
      </c>
    </row>
    <row r="64" ht="14.25">
      <c r="A64" s="1" t="s">
        <v>393</v>
      </c>
    </row>
    <row r="65" spans="1:10" ht="14.25">
      <c r="A65" s="1" t="s">
        <v>394</v>
      </c>
      <c r="J65" s="93"/>
    </row>
    <row r="67" spans="1:4" ht="15.75">
      <c r="A67" s="99" t="s">
        <v>395</v>
      </c>
      <c r="B67" s="99" t="s">
        <v>396</v>
      </c>
      <c r="C67" s="99" t="s">
        <v>397</v>
      </c>
      <c r="D67" s="99" t="s">
        <v>398</v>
      </c>
    </row>
    <row r="68" spans="1:4" ht="15.75">
      <c r="A68" s="36">
        <v>2</v>
      </c>
      <c r="B68" s="115">
        <v>0.485</v>
      </c>
      <c r="C68" s="116">
        <v>0.5</v>
      </c>
      <c r="D68" s="101">
        <f>B68*C68</f>
        <v>0.2425</v>
      </c>
    </row>
    <row r="69" spans="1:4" ht="15.75">
      <c r="A69" s="36">
        <v>3</v>
      </c>
      <c r="B69" s="115">
        <v>4.15</v>
      </c>
      <c r="C69" s="116">
        <v>2.2</v>
      </c>
      <c r="D69" s="101">
        <f>B69*C69</f>
        <v>9.13</v>
      </c>
    </row>
    <row r="70" spans="1:4" ht="15.75">
      <c r="A70" s="36">
        <v>4</v>
      </c>
      <c r="B70" s="115">
        <v>1.083</v>
      </c>
      <c r="C70" s="116">
        <v>1.5</v>
      </c>
      <c r="D70" s="101">
        <f>B70*C70</f>
        <v>1.6244999999999998</v>
      </c>
    </row>
    <row r="71" spans="1:4" ht="15.75">
      <c r="A71" s="36">
        <v>5</v>
      </c>
      <c r="B71" s="115">
        <v>7.2</v>
      </c>
      <c r="C71" s="116">
        <v>19.2</v>
      </c>
      <c r="D71" s="101">
        <f>B71*C71</f>
        <v>138.24</v>
      </c>
    </row>
    <row r="72" spans="1:4" ht="15.75">
      <c r="A72" s="36" t="s">
        <v>399</v>
      </c>
      <c r="B72" s="100"/>
      <c r="C72" s="100"/>
      <c r="D72" s="101">
        <f>SUM(D68:D71)</f>
        <v>149.23700000000002</v>
      </c>
    </row>
    <row r="73" spans="1:4" ht="14.25">
      <c r="A73" s="3"/>
      <c r="B73" s="3"/>
      <c r="C73" s="3"/>
      <c r="D73" s="3"/>
    </row>
    <row r="74" ht="14.25">
      <c r="A74" s="1" t="s">
        <v>400</v>
      </c>
    </row>
    <row r="75" spans="1:3" ht="15.75">
      <c r="A75" s="8" t="s">
        <v>401</v>
      </c>
      <c r="B75" s="96">
        <f>B61*B62*D72</f>
        <v>225.07327392000005</v>
      </c>
      <c r="C75" s="1" t="s">
        <v>186</v>
      </c>
    </row>
    <row r="76" ht="14.25">
      <c r="A76" s="1" t="s">
        <v>402</v>
      </c>
    </row>
    <row r="77" spans="1:3" ht="15.75">
      <c r="A77" s="8" t="s">
        <v>403</v>
      </c>
      <c r="B77" s="96">
        <f>B33*(B54+B75)</f>
        <v>272.7392766383617</v>
      </c>
      <c r="C77" s="1" t="s">
        <v>186</v>
      </c>
    </row>
    <row r="78" ht="15.75">
      <c r="A78" s="2" t="s">
        <v>525</v>
      </c>
    </row>
    <row r="79" spans="1:3" ht="15.75">
      <c r="A79" s="103" t="s">
        <v>405</v>
      </c>
      <c r="B79" s="96">
        <f>B77/B32</f>
        <v>194.8137690274012</v>
      </c>
      <c r="C79" s="1" t="s">
        <v>186</v>
      </c>
    </row>
    <row r="80" ht="15.75">
      <c r="A80" s="2" t="s">
        <v>526</v>
      </c>
    </row>
    <row r="81" spans="1:3" ht="15.75">
      <c r="A81" s="103" t="s">
        <v>527</v>
      </c>
      <c r="B81" s="144">
        <f>MIN(B79,B19)</f>
        <v>194.8137690274012</v>
      </c>
      <c r="C81" s="1" t="s">
        <v>186</v>
      </c>
    </row>
  </sheetData>
  <printOptions/>
  <pageMargins left="0.75" right="0.75" top="1" bottom="1" header="0.5" footer="0.5"/>
  <pageSetup horizontalDpi="600" verticalDpi="600" orientation="portrait" paperSize="9" r:id="rId8"/>
  <legacyDrawing r:id="rId7"/>
  <oleObjects>
    <oleObject progId="Equation.3" shapeId="1827005" r:id="rId1"/>
    <oleObject progId="Equation.3" shapeId="1827006" r:id="rId2"/>
    <oleObject progId="Equation.3" shapeId="1827007" r:id="rId3"/>
    <oleObject progId="Equation.3" shapeId="1827010" r:id="rId4"/>
    <oleObject progId="Equation.3" shapeId="1827013" r:id="rId5"/>
    <oleObject progId="Equation.3" shapeId="1849771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G21" sqref="G21"/>
    </sheetView>
  </sheetViews>
  <sheetFormatPr defaultColWidth="9.140625" defaultRowHeight="12.75"/>
  <cols>
    <col min="1" max="1" width="12.140625" style="41" customWidth="1"/>
    <col min="2" max="16384" width="9.140625" style="41" customWidth="1"/>
  </cols>
  <sheetData>
    <row r="1" ht="15.75">
      <c r="A1" s="43" t="s">
        <v>334</v>
      </c>
    </row>
    <row r="2" spans="1:2" ht="15.75">
      <c r="A2" s="43" t="s">
        <v>67</v>
      </c>
      <c r="B2" s="169" t="str">
        <f>'MONG COC KHOAN NHOI'!$D$2</f>
        <v>M1</v>
      </c>
    </row>
    <row r="3" spans="1:2" ht="15.75">
      <c r="A3" s="42" t="s">
        <v>352</v>
      </c>
      <c r="B3" s="42"/>
    </row>
    <row r="4" spans="1:11" ht="15.75">
      <c r="A4" s="42" t="s">
        <v>353</v>
      </c>
      <c r="B4" s="42"/>
      <c r="C4" s="119">
        <v>300</v>
      </c>
      <c r="D4" s="79" t="s">
        <v>322</v>
      </c>
      <c r="E4" s="60">
        <f>VLOOKUP(C4,VATLIEU!A3:F10,2,0)</f>
        <v>130</v>
      </c>
      <c r="F4" s="41" t="s">
        <v>212</v>
      </c>
      <c r="K4" s="42"/>
    </row>
    <row r="5" spans="1:6" ht="15.75">
      <c r="A5" s="42" t="s">
        <v>113</v>
      </c>
      <c r="C5" s="120" t="s">
        <v>225</v>
      </c>
      <c r="D5" s="79" t="s">
        <v>323</v>
      </c>
      <c r="E5" s="60">
        <f>VLOOKUP(C5,VATLIEU!H3:K9,2,0)</f>
        <v>2800</v>
      </c>
      <c r="F5" s="41" t="s">
        <v>212</v>
      </c>
    </row>
    <row r="6" spans="1:5" ht="15.75">
      <c r="A6" s="42" t="s">
        <v>88</v>
      </c>
      <c r="C6" s="44"/>
      <c r="D6" s="79"/>
      <c r="E6" s="60"/>
    </row>
    <row r="7" spans="1:5" ht="15.75">
      <c r="A7" s="42" t="s">
        <v>132</v>
      </c>
      <c r="C7" s="192">
        <f>'MONG COC KHOAN NHOI'!$C$24</f>
        <v>3.4000000000000004</v>
      </c>
      <c r="D7" s="79" t="s">
        <v>187</v>
      </c>
      <c r="E7" s="60"/>
    </row>
    <row r="8" spans="1:5" ht="15.75">
      <c r="A8" s="42" t="s">
        <v>133</v>
      </c>
      <c r="C8" s="192">
        <f>'MONG COC KHOAN NHOI'!$C$25</f>
        <v>1.8</v>
      </c>
      <c r="D8" s="79" t="s">
        <v>187</v>
      </c>
      <c r="E8" s="60"/>
    </row>
    <row r="9" spans="1:5" ht="15.75">
      <c r="A9" s="42" t="s">
        <v>134</v>
      </c>
      <c r="C9" s="44"/>
      <c r="D9" s="79"/>
      <c r="E9" s="60"/>
    </row>
    <row r="10" spans="1:5" ht="15.75">
      <c r="A10" s="42" t="s">
        <v>132</v>
      </c>
      <c r="C10" s="120">
        <v>0.5</v>
      </c>
      <c r="D10" s="79" t="s">
        <v>187</v>
      </c>
      <c r="E10" s="60"/>
    </row>
    <row r="11" spans="1:5" ht="15.75">
      <c r="A11" s="42" t="s">
        <v>133</v>
      </c>
      <c r="C11" s="120">
        <v>0.3</v>
      </c>
      <c r="D11" s="79" t="s">
        <v>187</v>
      </c>
      <c r="E11" s="60"/>
    </row>
    <row r="12" spans="1:5" ht="15.75">
      <c r="A12" s="78" t="s">
        <v>139</v>
      </c>
      <c r="B12" s="169"/>
      <c r="C12" s="98">
        <f>'SucChiuTaiCocKhoanNhoi-DatSet'!$B$14/100</f>
        <v>0.8</v>
      </c>
      <c r="D12" s="41" t="s">
        <v>187</v>
      </c>
      <c r="E12" s="60"/>
    </row>
    <row r="13" ht="15.75">
      <c r="A13" s="42" t="s">
        <v>335</v>
      </c>
    </row>
    <row r="14" spans="1:3" ht="15.75">
      <c r="A14" s="41" t="s">
        <v>336</v>
      </c>
      <c r="B14" s="119">
        <v>1.3</v>
      </c>
      <c r="C14" s="41" t="s">
        <v>187</v>
      </c>
    </row>
    <row r="15" ht="14.25">
      <c r="A15" s="189" t="str">
        <f>IF(((B14-0.2)&gt;(C7-C10-C12)/2)*AND((B14-0.2)&gt;(C8-C11-C12)/2),"Ta coù thaùp xuyeân thuûng bao truøm caùc ñaàu coïc neân khaû naêng xuyeân thuûng khoâng coù.","Choïn laïi chieàu cao ñaøi coïc")</f>
        <v>Ta coù thaùp xuyeân thuûng bao truøm caùc ñaàu coïc neân khaû naêng xuyeân thuûng khoâng coù.</v>
      </c>
    </row>
    <row r="16" spans="1:2" ht="15.75">
      <c r="A16" s="42" t="s">
        <v>345</v>
      </c>
      <c r="B16" s="42"/>
    </row>
    <row r="17" ht="12.75">
      <c r="I17" s="54"/>
    </row>
    <row r="18" ht="12.75"/>
    <row r="19" ht="12.75"/>
    <row r="20" ht="12.75"/>
    <row r="21" spans="1:10" ht="15.75">
      <c r="A21" s="85" t="s">
        <v>342</v>
      </c>
      <c r="B21" s="167" t="s">
        <v>64</v>
      </c>
      <c r="C21" s="167" t="s">
        <v>65</v>
      </c>
      <c r="D21" s="230" t="s">
        <v>341</v>
      </c>
      <c r="E21" s="231"/>
      <c r="F21" s="87" t="s">
        <v>350</v>
      </c>
      <c r="G21" s="87" t="s">
        <v>349</v>
      </c>
      <c r="H21" s="87" t="s">
        <v>351</v>
      </c>
      <c r="I21" s="87" t="s">
        <v>344</v>
      </c>
      <c r="J21" s="87" t="s">
        <v>449</v>
      </c>
    </row>
    <row r="22" spans="1:10" ht="15.75">
      <c r="A22" s="88" t="s">
        <v>343</v>
      </c>
      <c r="B22" s="87" t="s">
        <v>346</v>
      </c>
      <c r="C22" s="87" t="s">
        <v>346</v>
      </c>
      <c r="D22" s="86" t="s">
        <v>347</v>
      </c>
      <c r="E22" s="87" t="s">
        <v>348</v>
      </c>
      <c r="F22" s="87" t="s">
        <v>186</v>
      </c>
      <c r="G22" s="87" t="s">
        <v>295</v>
      </c>
      <c r="H22" s="87" t="s">
        <v>295</v>
      </c>
      <c r="I22" s="87" t="s">
        <v>186</v>
      </c>
      <c r="J22" s="87"/>
    </row>
    <row r="23" spans="1:10" ht="15.75">
      <c r="A23" s="82">
        <f>'MONG COC KHOAN NHOI'!$C$21</f>
        <v>2</v>
      </c>
      <c r="B23" s="155">
        <f>'MONG COC KHOAN NHOI'!$B$42</f>
        <v>1.62</v>
      </c>
      <c r="C23" s="155">
        <f>'MONG COC KHOAN NHOI'!$B$43</f>
        <v>0</v>
      </c>
      <c r="D23" s="155">
        <f>'MONG COC KHOAN NHOI'!$B$40</f>
        <v>0.9</v>
      </c>
      <c r="E23" s="155">
        <f>'MONG COC KHOAN NHOI'!$B$41</f>
        <v>0</v>
      </c>
      <c r="F23" s="65">
        <f>'MONG COC KHOAN NHOI'!$D$31</f>
        <v>226.196</v>
      </c>
      <c r="G23" s="82">
        <f>'MONG COC KHOAN NHOI'!$C$34</f>
        <v>0</v>
      </c>
      <c r="H23" s="82">
        <f>'MONG COC KHOAN NHOI'!$C$33</f>
        <v>23</v>
      </c>
      <c r="I23" s="65">
        <f>IF(C23&gt;0,F23/A23+H23*D23/B23+G23*E23/C23,F23/A23+H23*D23/B23)</f>
        <v>125.87577777777777</v>
      </c>
      <c r="J23" s="191" t="s">
        <v>137</v>
      </c>
    </row>
    <row r="24" spans="1:10" ht="15.75">
      <c r="A24" s="82">
        <f>'MONG COC KHOAN NHOI'!$C$21</f>
        <v>2</v>
      </c>
      <c r="B24" s="155">
        <f>'MONG COC KHOAN NHOI'!$B$42</f>
        <v>1.62</v>
      </c>
      <c r="C24" s="155">
        <f>'MONG COC KHOAN NHOI'!$B$43</f>
        <v>0</v>
      </c>
      <c r="D24" s="155">
        <f>-'MONG COC KHOAN NHOI'!$B$40</f>
        <v>-0.9</v>
      </c>
      <c r="E24" s="155">
        <f>-'MONG COC KHOAN NHOI'!$B$41</f>
        <v>0</v>
      </c>
      <c r="F24" s="65">
        <f>'MONG COC KHOAN NHOI'!$D$31</f>
        <v>226.196</v>
      </c>
      <c r="G24" s="82">
        <f>'MONG COC KHOAN NHOI'!$C$34</f>
        <v>0</v>
      </c>
      <c r="H24" s="82">
        <f>'MONG COC KHOAN NHOI'!$C$33</f>
        <v>23</v>
      </c>
      <c r="I24" s="65">
        <f>IF(C24&gt;0,F24/A24+H24*D24/B24+G24*E24/C24,F24/A24+H24*D24/B24)</f>
        <v>100.32022222222223</v>
      </c>
      <c r="J24" s="191" t="s">
        <v>137</v>
      </c>
    </row>
    <row r="25" spans="1:10" ht="15.75">
      <c r="A25" s="82">
        <f>'MONG COC KHOAN NHOI'!$C$21</f>
        <v>2</v>
      </c>
      <c r="B25" s="155">
        <f>'MONG COC KHOAN NHOI'!$B$42</f>
        <v>1.62</v>
      </c>
      <c r="C25" s="155">
        <f>'MONG COC KHOAN NHOI'!$B$43</f>
        <v>0</v>
      </c>
      <c r="D25" s="75"/>
      <c r="E25" s="75"/>
      <c r="F25" s="65">
        <f>'MONG COC KHOAN NHOI'!$D$31</f>
        <v>226.196</v>
      </c>
      <c r="G25" s="82">
        <f>'MONG COC KHOAN NHOI'!$C$34</f>
        <v>0</v>
      </c>
      <c r="H25" s="82">
        <f>'MONG COC KHOAN NHOI'!$C$33</f>
        <v>23</v>
      </c>
      <c r="I25" s="65">
        <f>IF(C25&gt;0,F25/A25+H25*D25/B25+G25*E25/C25,F25/A25+H25*D25/B25)</f>
        <v>113.098</v>
      </c>
      <c r="J25" s="49"/>
    </row>
    <row r="26" spans="1:10" ht="15.75">
      <c r="A26" s="82">
        <f>'MONG COC KHOAN NHOI'!$C$21</f>
        <v>2</v>
      </c>
      <c r="B26" s="155">
        <f>'MONG COC KHOAN NHOI'!$B$42</f>
        <v>1.62</v>
      </c>
      <c r="C26" s="155">
        <f>'MONG COC KHOAN NHOI'!$B$43</f>
        <v>0</v>
      </c>
      <c r="D26" s="75"/>
      <c r="E26" s="75"/>
      <c r="F26" s="65">
        <f>'MONG COC KHOAN NHOI'!$D$31</f>
        <v>226.196</v>
      </c>
      <c r="G26" s="82">
        <f>'MONG COC KHOAN NHOI'!$C$34</f>
        <v>0</v>
      </c>
      <c r="H26" s="82">
        <f>'MONG COC KHOAN NHOI'!$C$33</f>
        <v>23</v>
      </c>
      <c r="I26" s="65">
        <f>IF(C26&gt;0,F26/A26+H26*D26/B26+G26*E26/C26,F26/A26+H26*D26/B26)</f>
        <v>113.098</v>
      </c>
      <c r="J26" s="49"/>
    </row>
    <row r="27" spans="1:10" ht="15.75">
      <c r="A27" s="42" t="s">
        <v>340</v>
      </c>
      <c r="B27" s="42"/>
      <c r="J27" s="84"/>
    </row>
    <row r="28" spans="1:10" ht="15.75">
      <c r="A28" s="42" t="s">
        <v>337</v>
      </c>
      <c r="B28" s="42"/>
      <c r="J28" s="84"/>
    </row>
    <row r="29" spans="1:10" ht="14.25">
      <c r="A29" s="41" t="s">
        <v>116</v>
      </c>
      <c r="J29" s="84"/>
    </row>
    <row r="30" spans="1:10" ht="15.75">
      <c r="A30" s="42" t="s">
        <v>339</v>
      </c>
      <c r="B30" s="42"/>
      <c r="J30" s="84"/>
    </row>
    <row r="31" spans="1:10" ht="14.25">
      <c r="A31" s="41" t="s">
        <v>338</v>
      </c>
      <c r="J31" s="84"/>
    </row>
    <row r="32" spans="1:10" ht="15.75">
      <c r="A32" s="42" t="s">
        <v>354</v>
      </c>
      <c r="J32" s="84"/>
    </row>
    <row r="33" ht="12.75">
      <c r="J33" s="84"/>
    </row>
    <row r="34" spans="4:10" ht="12.75">
      <c r="D34" s="41" t="s">
        <v>89</v>
      </c>
      <c r="J34" s="84"/>
    </row>
    <row r="35" ht="12.75">
      <c r="J35" s="84"/>
    </row>
    <row r="37" spans="1:7" ht="15.75">
      <c r="A37" s="90" t="s">
        <v>537</v>
      </c>
      <c r="B37" s="85" t="s">
        <v>355</v>
      </c>
      <c r="C37" s="85" t="s">
        <v>360</v>
      </c>
      <c r="D37" s="232" t="s">
        <v>356</v>
      </c>
      <c r="E37" s="230"/>
      <c r="F37" s="85" t="s">
        <v>360</v>
      </c>
      <c r="G37" s="85" t="s">
        <v>138</v>
      </c>
    </row>
    <row r="38" spans="1:7" ht="14.25">
      <c r="A38" s="91" t="s">
        <v>538</v>
      </c>
      <c r="B38" s="88"/>
      <c r="C38" s="88"/>
      <c r="D38" s="86" t="s">
        <v>358</v>
      </c>
      <c r="E38" s="86" t="s">
        <v>357</v>
      </c>
      <c r="F38" s="88" t="s">
        <v>359</v>
      </c>
      <c r="G38" s="88"/>
    </row>
    <row r="39" spans="1:7" ht="15.75">
      <c r="A39" s="89" t="s">
        <v>361</v>
      </c>
      <c r="B39" s="168">
        <f>I23*(D23-C10/2)</f>
        <v>81.81925555555556</v>
      </c>
      <c r="C39" s="65">
        <f>B39*10^5/(0.9*$E$5*($B$14*100-20))</f>
        <v>29.516325957992628</v>
      </c>
      <c r="D39" s="64">
        <v>16</v>
      </c>
      <c r="E39" s="64">
        <v>16</v>
      </c>
      <c r="F39" s="65">
        <f>D39*(E39/10)^2*3.142/4</f>
        <v>32.174080000000004</v>
      </c>
      <c r="G39" s="191">
        <f>IF(F39&lt;C39,"Choïn laïi ",ROUND((C8*1000-100)/(D39-1),-1))</f>
        <v>110</v>
      </c>
    </row>
    <row r="40" spans="1:7" ht="15.75">
      <c r="A40" s="51" t="s">
        <v>362</v>
      </c>
      <c r="B40" s="168">
        <f>0*(E23-C11/2)</f>
        <v>0</v>
      </c>
      <c r="C40" s="65">
        <f>B40*10^5/(0.9*$E$5*($B$14*100-20))</f>
        <v>0</v>
      </c>
      <c r="D40" s="64">
        <v>20</v>
      </c>
      <c r="E40" s="64">
        <v>16</v>
      </c>
      <c r="F40" s="65">
        <f>D40*(E40/10)^2*3.142/4</f>
        <v>40.217600000000004</v>
      </c>
      <c r="G40" s="191">
        <f>IF(F40&lt;C40,"Choïn laïi ",ROUND((C7*1000-100)/(D40-1),-1))</f>
        <v>170</v>
      </c>
    </row>
    <row r="42" ht="14.25">
      <c r="A42" s="150" t="s">
        <v>534</v>
      </c>
    </row>
    <row r="43" ht="14.25">
      <c r="A43" s="50" t="s">
        <v>535</v>
      </c>
    </row>
    <row r="44" ht="15.75">
      <c r="B44" s="42" t="s">
        <v>536</v>
      </c>
    </row>
  </sheetData>
  <mergeCells count="2">
    <mergeCell ref="D21:E21"/>
    <mergeCell ref="D37:E37"/>
  </mergeCells>
  <printOptions/>
  <pageMargins left="0.75" right="0.75" top="1" bottom="1" header="0.5" footer="0.5"/>
  <pageSetup horizontalDpi="600" verticalDpi="600" orientation="portrait" paperSize="9" r:id="rId4"/>
  <headerFooter alignWithMargins="0">
    <oddFooter>&amp;L&amp;"VNI-Times,Normal"THIEÁT KEÁ : KS. NGUYEÃN TRAÀN KHOA</oddFooter>
  </headerFooter>
  <legacyDrawing r:id="rId3"/>
  <oleObjects>
    <oleObject progId="Equation.3" shapeId="415412" r:id="rId1"/>
    <oleObject progId="Equation.3" shapeId="4154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THIET KE MONG COC</dc:title>
  <dc:subject/>
  <dc:creator>NGUYEN TRAN KHOA</dc:creator>
  <cp:keywords/>
  <dc:description/>
  <cp:lastModifiedBy>Chinh Truong</cp:lastModifiedBy>
  <cp:lastPrinted>2003-03-17T08:07:47Z</cp:lastPrinted>
  <dcterms:created xsi:type="dcterms:W3CDTF">1980-01-08T21:11:18Z</dcterms:created>
  <dcterms:modified xsi:type="dcterms:W3CDTF">2004-09-27T09:30:52Z</dcterms:modified>
  <cp:category/>
  <cp:version/>
  <cp:contentType/>
  <cp:contentStatus/>
</cp:coreProperties>
</file>